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Trinh HDND\"/>
    </mc:Choice>
  </mc:AlternateContent>
  <xr:revisionPtr revIDLastSave="0" documentId="13_ncr:1_{982FB60C-485D-436A-BB42-DDCC806E2400}" xr6:coauthVersionLast="47" xr6:coauthVersionMax="47" xr10:uidLastSave="{00000000-0000-0000-0000-000000000000}"/>
  <bookViews>
    <workbookView xWindow="-120" yWindow="-120" windowWidth="29040" windowHeight="15840" activeTab="6" xr2:uid="{8CCA56DD-E671-41E6-9946-DFD7848A7EC7}"/>
  </bookViews>
  <sheets>
    <sheet name="45.1" sheetId="1" r:id="rId1"/>
    <sheet name="45.2" sheetId="2" r:id="rId2"/>
    <sheet name="45.3" sheetId="3" r:id="rId3"/>
    <sheet name="45.5" sheetId="5" r:id="rId4"/>
    <sheet name="45.4" sheetId="4" r:id="rId5"/>
    <sheet name="45.6" sheetId="6" r:id="rId6"/>
    <sheet name="45.7"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Tru21"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'[1]CT -THVLNC'!#REF!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250">'[2]dongia (2)'!#REF!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2">[3]DATA!$J$9:$J$707</definedName>
    <definedName name="_co3">[3]DATA!$I$9:$I$707</definedName>
    <definedName name="_Coc1">#REF!</definedName>
    <definedName name="_coc250">#REF!</definedName>
    <definedName name="_coc300">#REF!</definedName>
    <definedName name="_coc350">#REF!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hidden="1">#REF!</definedName>
    <definedName name="_Fill_1">"#REF!"</definedName>
    <definedName name="_xlnm._FilterDatabase" localSheetId="0" hidden="1">'45.1'!$A$12:$AQ$156</definedName>
    <definedName name="_xlnm._FilterDatabase" localSheetId="1" hidden="1">'45.2'!$A$11:$AP$102</definedName>
    <definedName name="_xlnm._FilterDatabase" localSheetId="2" hidden="1">'45.3'!$A$11:$AC$17</definedName>
    <definedName name="_xlnm._FilterDatabase" localSheetId="4" hidden="1">'45.4'!$A$10:$CX$85</definedName>
    <definedName name="_xlnm._FilterDatabase" localSheetId="3" hidden="1">'45.5'!$A$16:$BB$29</definedName>
    <definedName name="_xlnm._FilterDatabase" localSheetId="5" hidden="1">'45.6'!$A$11:$Z$20</definedName>
    <definedName name="_xlnm._FilterDatabase" localSheetId="6" hidden="1">'45.7'!$A$11:$AA$11</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h1">[4]XL4Poppy!$C$9</definedName>
    <definedName name="_hh2">[4]XL4Poppy!$A$15</definedName>
    <definedName name="_hh3">[4]XL4Poppy!$C$27</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hu7">#REF!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MM">#REF!</definedName>
    <definedName name="_kn12">#REF!</definedName>
    <definedName name="_Knc36">#REF!</definedName>
    <definedName name="_Knc57">#REF!</definedName>
    <definedName name="_Kvl36">#REF!</definedName>
    <definedName name="_L">#REF!</definedName>
    <definedName name="_L1">[5]XL4Poppy!$C$4</definedName>
    <definedName name="_L123" hidden="1">{"'Sheet1'!$L$16"}</definedName>
    <definedName name="_L1234" hidden="1">{"'Sheet1'!$L$16"}</definedName>
    <definedName name="_L2">#REF!</definedName>
    <definedName name="_L6">[6]XL4Poppy!$C$31</definedName>
    <definedName name="_Lan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[5]XL4Poppy!$C$4</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0">[7]XL4Poppy!$A$26</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 hidden="1">{"'Sheet1'!$L$16"}</definedName>
    <definedName name="aAAA">#REF!</definedName>
    <definedName name="aaaaa">#REF!</definedName>
    <definedName name="aaaaaa" hidden="1">{"'Sheet1'!$L$16"}</definedName>
    <definedName name="aaaaaaa" hidden="1">{"'Sheet1'!$L$16"}</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hidden="1">{"'Sheet1'!$L$16"}</definedName>
    <definedName name="ADAY">#REF!</definedName>
    <definedName name="adb">#REF!</definedName>
    <definedName name="addd">#REF!</definedName>
    <definedName name="Address">#REF!</definedName>
    <definedName name="ADEQ">#REF!</definedName>
    <definedName name="âdf">{"Book5","sæ quü.xls","Dù to¸n x©y dùng nhµ s¶n xuÊt.xls","Than.xls","TiÕn ®é s¶n xuÊt - Th¸ng 9.xls"}</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HA_d">#REF!</definedName>
    <definedName name="ALPIN">#N/A</definedName>
    <definedName name="ALPJYOU">#N/A</definedName>
    <definedName name="ALPTOI">#N/A</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g">#REF!</definedName>
    <definedName name="ANN">#REF!</definedName>
    <definedName name="Annual_Growth">#REF!</definedName>
    <definedName name="Annual_Growth_Truck_Factor">#REF!</definedName>
    <definedName name="anpha">#REF!</definedName>
    <definedName name="ANQD">#REF!</definedName>
    <definedName name="anscount" hidden="1">4</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hidden="1">{"'Sheet1'!$L$16"}</definedName>
    <definedName name="ATRAM">#REF!</definedName>
    <definedName name="ATW">#REF!</definedName>
    <definedName name="AÙ">#REF!</definedName>
    <definedName name="aù0">'[8]bang tien luong'!#REF!</definedName>
    <definedName name="auto">#REF!</definedName>
    <definedName name="Av">#REF!</definedName>
    <definedName name="Average_Truck_Factor">#REF!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1" hidden="1">#REF!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kechiNS01_11">#REF!</definedName>
    <definedName name="BangkechiNS02_11">#REF!</definedName>
    <definedName name="BangkechiNS03_11">#REF!</definedName>
    <definedName name="BangkeCTUchi01_11">#REF!</definedName>
    <definedName name="BangkeCTUchi02_11">#REF!</definedName>
    <definedName name="BangkeCTUchi03_11">#REF!</definedName>
    <definedName name="BangkeNS01_12">#REF!</definedName>
    <definedName name="bangluong">#REF!</definedName>
    <definedName name="BangMa">#REF!</definedName>
    <definedName name="Bangtienluong">#REF!</definedName>
    <definedName name="bangtinh">#REF!</definedName>
    <definedName name="banmo">#REF!</definedName>
    <definedName name="banql" hidden="1">{"'Sheet1'!$L$16"}</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bbbbbbbbbbbbb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gam">#REF!</definedName>
    <definedName name="benhvien">#REF!</definedName>
    <definedName name="benuoc">#REF!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iang" hidden="1">{"'Sheet1'!$L$16"}</definedName>
    <definedName name="BGS">#REF!</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H">#REF!</definedName>
    <definedName name="BKHĐT" comment="BKHĐT">[9]BKHDT!$B$3:$B$27</definedName>
    <definedName name="BKinh">#REF!</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MS" hidden="1">{"'Sheet1'!$L$16"}</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g">#REF!</definedName>
    <definedName name="BNV">#REF!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'[10]BANCO (3)'!$N$124</definedName>
    <definedName name="BR_373">#REF!</definedName>
    <definedName name="BrName">#REF!</definedName>
    <definedName name="Bsb">#REF!</definedName>
    <definedName name="BSM">#REF!</definedName>
    <definedName name="bson">#REF!</definedName>
    <definedName name="BSTRESS_d">#REF!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[11]NSĐP!$AA$14:$AA$240</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cnhoi">#REF!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r">#REF!</definedName>
    <definedName name="BTRAM">#REF!</definedName>
    <definedName name="Btt">#REF!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achdienchuoi">#REF!</definedName>
    <definedName name="Cachdiendung">#REF!</definedName>
    <definedName name="Cachdienhaap">#REF!</definedName>
    <definedName name="cácte">#REF!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 localSheetId="0">BlankMacro1</definedName>
    <definedName name="cf" localSheetId="1">BlankMacro1</definedName>
    <definedName name="cf">BlankMacro1</definedName>
    <definedName name="cfc">#REF!</definedName>
    <definedName name="cfk">#REF!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 localSheetId="0">BlankMacro1</definedName>
    <definedName name="chie" localSheetId="1">BlankMacro1</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H_0.4">#REF!</definedName>
    <definedName name="CLECT">#REF!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 localSheetId="0">BlankMacro1</definedName>
    <definedName name="Comm" localSheetId="1">BlankMacro1</definedName>
    <definedName name="Comm">BlankMacro1</definedName>
    <definedName name="COMMON">#REF!</definedName>
    <definedName name="comong">#REF!</definedName>
    <definedName name="Company">#REF!</definedName>
    <definedName name="CON_d">#REF!</definedName>
    <definedName name="CON_DUCT">#REF!</definedName>
    <definedName name="CON_EQP_COS">#REF!</definedName>
    <definedName name="CON_EQP_COST">#REF!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ỐNGGJOLLJ">#REF!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 localSheetId="0">ErrorHandler_1</definedName>
    <definedName name="Content1" localSheetId="1">ErrorHandler_1</definedName>
    <definedName name="Content1">ErrorHandler_1</definedName>
    <definedName name="Continue">#REF!</definedName>
    <definedName name="continue1">#REF!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HA">#REF!</definedName>
    <definedName name="cphoi">#REF!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bbt" hidden="1">{"'Sheet1'!$L$16"}</definedName>
    <definedName name="CTCT">#REF!</definedName>
    <definedName name="CTCT1" hidden="1">{"'Sheet1'!$L$16"}</definedName>
    <definedName name="ctdn9697">#REF!</definedName>
    <definedName name="CTDZ">#REF!</definedName>
    <definedName name="CTDz35">#REF!</definedName>
    <definedName name="CTHT">#REF!</definedName>
    <definedName name="ctiep">#REF!</definedName>
    <definedName name="CTIET">#REF!</definedName>
    <definedName name="ctmai">#REF!</definedName>
    <definedName name="CTMT">{"ÿÿÿÿÿ"}</definedName>
    <definedName name="ctong">#REF!</definedName>
    <definedName name="CTÖØ">#REF!</definedName>
    <definedName name="CTRAM">#REF!</definedName>
    <definedName name="ctre">#REF!</definedName>
    <definedName name="Cty_TNHH_HYDRO_AGRI">#REF!</definedName>
    <definedName name="CTY_TNHH_SX_TM__NHÖ_QUYEÀN">#N/A</definedName>
    <definedName name="CTY_VTKTNN_CAÀN_THÔ">#REF!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 localSheetId="0">BlankMacro1</definedName>
    <definedName name="Ð" localSheetId="1">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 localSheetId="0">[12]!DataFilter</definedName>
    <definedName name="DataFilter" localSheetId="1">[12]!DataFilter</definedName>
    <definedName name="DataFilter">[12]!DataFilter</definedName>
    <definedName name="datak">#REF!</definedName>
    <definedName name="datal">#REF!</definedName>
    <definedName name="DataSort" localSheetId="0">[12]!DataSort</definedName>
    <definedName name="DataSort" localSheetId="1">[12]!DataSort</definedName>
    <definedName name="DataSort">[12]!DataSort</definedName>
    <definedName name="DATATKDT">#REF!</definedName>
    <definedName name="DATDAO">#REF!</definedName>
    <definedName name="datdo">#REF!</definedName>
    <definedName name="Date">#REF!</definedName>
    <definedName name="dathai">#REF!</definedName>
    <definedName name="datnen">#REF!</definedName>
    <definedName name="Dattt">#REF!</definedName>
    <definedName name="Datvv">#REF!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he">#REF!</definedName>
    <definedName name="DCL_22">12117600</definedName>
    <definedName name="DCL_35">25490000</definedName>
    <definedName name="DÇm_33">#REF!</definedName>
    <definedName name="dcp">#REF!</definedName>
    <definedName name="dct">#REF!</definedName>
    <definedName name="dctc35">#REF!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FF">'[1]CT -THVLNC'!#REF!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Noi">#REF!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nvi">#REF!</definedName>
    <definedName name="Dot" hidden="1">{"'Sheet1'!$L$16"}</definedName>
    <definedName name="dotcong">1</definedName>
    <definedName name="DOWEL_d">#REF!</definedName>
    <definedName name="DPHT250">#REF!</definedName>
    <definedName name="DPHT350">#REF!</definedName>
    <definedName name="DPHT50">#REF!</definedName>
    <definedName name="dps">#REF!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CQ">'[13]Danh sach KV2'!$B$5:$H$96</definedName>
    <definedName name="DSD">'[13]Danh sach doan KT'!$B$9:$I$37</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'[10]BANCO (3)'!$K$128</definedName>
    <definedName name="DuphongBGD">#REF!</definedName>
    <definedName name="DuphongBNG">'[10]BANCO (3)'!$K$126</definedName>
    <definedName name="DuphongBNV">#REF!</definedName>
    <definedName name="DuphongBQP">'[10]BANCO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'[14]BANCO (2)'!$F$123</definedName>
    <definedName name="DUT">#REF!</definedName>
    <definedName name="Dutoan2001">'[15]Tro giup'!$A$1</definedName>
    <definedName name="DutoanDongmo">#REF!</definedName>
    <definedName name="dvgfsgdsdg" hidden="1">#REF!</definedName>
    <definedName name="dvql">#REF!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Êt_cÊp_IV">#REF!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#REF!</definedName>
    <definedName name="ey">#REF!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sf" hidden="1">{"'Sheet1'!$L$16"}</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DR">#REF!</definedName>
    <definedName name="Fe">#REF!</definedName>
    <definedName name="ff">#REF!</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 localSheetId="0">BlankMacro1</definedName>
    <definedName name="FIT" localSheetId="1">BlankMacro1</definedName>
    <definedName name="FIT">BlankMacro1</definedName>
    <definedName name="FITT2" localSheetId="0">BlankMacro1</definedName>
    <definedName name="FITT2" localSheetId="1">BlankMacro1</definedName>
    <definedName name="FITT2">BlankMacro1</definedName>
    <definedName name="FITTING2" localSheetId="0">BlankMacro1</definedName>
    <definedName name="FITTING2" localSheetId="1">BlankMacro1</definedName>
    <definedName name="FITTING2">BlankMacro1</definedName>
    <definedName name="fjh">#REF!</definedName>
    <definedName name="FL">#REF!</definedName>
    <definedName name="FlexZZ">#REF!</definedName>
    <definedName name="FLG" localSheetId="0">BlankMacro1</definedName>
    <definedName name="FLG" localSheetId="1">BlankMacro1</definedName>
    <definedName name="FLG">BlankMacro1</definedName>
    <definedName name="Flv">#REF!</definedName>
    <definedName name="Fng">#REF!</definedName>
    <definedName name="FO">#N/A</definedName>
    <definedName name="foo" localSheetId="0">ErrorHandler_1</definedName>
    <definedName name="foo" localSheetId="1">ErrorHandler_1</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DTD">#REF!</definedName>
    <definedName name="geff">#REF!</definedName>
    <definedName name="geo">#REF!</definedName>
    <definedName name="Gerät">#N/A</definedName>
    <definedName name="getrtertertert" localSheetId="0">BlankMacro1</definedName>
    <definedName name="getrtertertert" localSheetId="1">BlankMacro1</definedName>
    <definedName name="getrtertertert">BlankMacro1</definedName>
    <definedName name="gfdgdfgd" hidden="1">#N/A</definedName>
    <definedName name="gfdgfd" hidden="1">{"'Sheet1'!$L$16"}</definedName>
    <definedName name="gfjh">#REF!</definedName>
    <definedName name="gg">#REF!</definedName>
    <definedName name="ggdgd" hidden="1">#N/A</definedName>
    <definedName name="ggg">#REF!</definedName>
    <definedName name="gggggggggggg" hidden="1">{"'Sheet1'!$L$16"}</definedName>
    <definedName name="GGGGGGGGGGGGG" localSheetId="0">BlankMacro1</definedName>
    <definedName name="GGGGGGGGGGGGG" localSheetId="1">BlankMacro1</definedName>
    <definedName name="GGGGGGGGGGGGG">BlankMacro1</definedName>
    <definedName name="GGGHHHH" localSheetId="0">BlankMacro1</definedName>
    <definedName name="GGGHHHH" localSheetId="1">BlankMacro1</definedName>
    <definedName name="GGGHHHH">BlankMacro1</definedName>
    <definedName name="ggh" hidden="1">{"'Sheet1'!$L$16"}</definedName>
    <definedName name="ggsdg" hidden="1">#N/A</definedName>
    <definedName name="ggsf" hidden="1">#N/A</definedName>
    <definedName name="ghcgcfdhfg">#N/A</definedName>
    <definedName name="Ghi_chó">#REF!</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Itc">#REF!</definedName>
    <definedName name="gIItt">#REF!</definedName>
    <definedName name="Giocong">#REF!</definedName>
    <definedName name="giotuoi">#REF!</definedName>
    <definedName name="gis">#REF!</definedName>
    <definedName name="gis150room">#REF!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0">[12]Sheet1!GoBack</definedName>
    <definedName name="GoBack" localSheetId="1">[12]Sheet1!GoBack</definedName>
    <definedName name="GoBack">[12]Sheet1!GoBack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g_muc_khac">#REF!</definedName>
    <definedName name="hangmu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'[16]MT DPin (2)'!$BP$99</definedName>
    <definedName name="hesoC">#REF!</definedName>
    <definedName name="HeSoPhuPhi">#REF!</definedName>
    <definedName name="HF">#REF!</definedName>
    <definedName name="hfdsh" hidden="1">#REF!</definedName>
    <definedName name="HFFTRB">#REF!</definedName>
    <definedName name="HFFTSF">#REF!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'[17]BANCO (3)'!$K$122</definedName>
    <definedName name="hsthep">#REF!</definedName>
    <definedName name="HSTHEPDEN">#REF!</definedName>
    <definedName name="Hstt">#REF!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#REF!</definedName>
    <definedName name="htrhrt" hidden="1">{"'Sheet1'!$L$16"}</definedName>
    <definedName name="HTS">#REF!</definedName>
    <definedName name="Htt">#REF!</definedName>
    <definedName name="HTU">#REF!</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HAN">#REF!</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#REF!</definedName>
    <definedName name="Ing">#REF!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kjk" hidden="1">{"'Sheet1'!$L$16"}</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99999999999">#REF!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[18]NSĐP!$O$7:$O$184</definedName>
    <definedName name="kehoachTH">[18]NSĐP!$N$7:$N$184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âi">#REF!</definedName>
    <definedName name="khanang">#REF!</definedName>
    <definedName name="Khánh_Hoà">#REF!</definedName>
    <definedName name="Khanhdonnoitrunggiannoidieuchinh">#REF!</definedName>
    <definedName name="Khäúi_læåüng">#REF!</definedName>
    <definedName name="Khh">#REF!</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kkkk2333">#REF!</definedName>
    <definedName name="kkkkkkkkkkkkkkkkkkkkkkkkkkkkkkkkkk">#REF!</definedName>
    <definedName name="kkkkkkkkkkkkkkkkkkkkkkkkkkkkkkkkkkkkkkkkkkk">#REF!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MMM">#REF!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hidden="1">{"'Sheet1'!$L$16"}</definedName>
    <definedName name="kshn"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l" hidden="1">{"'Sheet1'!$L$16"}</definedName>
    <definedName name="l_1">#REF!</definedName>
    <definedName name="L_bk">#REF!</definedName>
    <definedName name="L_mong">#REF!</definedName>
    <definedName name="l11111111111111111111111111111">#REF!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 hidden="1">{"'Sheet1'!$L$16"}</definedName>
    <definedName name="LAMTUBE">#REF!</definedName>
    <definedName name="lan" hidden="1">{#N/A,#N/A,TRUE,"BT M200 da 10x20"}</definedName>
    <definedName name="lancan">#REF!</definedName>
    <definedName name="Land">#REF!</definedName>
    <definedName name="LandPreperationWage">#REF!</definedName>
    <definedName name="langson" hidden="1">{"'Sheet1'!$L$16"}</definedName>
    <definedName name="lanhto">#REF!</definedName>
    <definedName name="lantrai">#REF!</definedName>
    <definedName name="lao_keo_dam_cau">#REF!</definedName>
    <definedName name="LAP_DAT_TBA">#REF!</definedName>
    <definedName name="Lap_dat_td">'[19]M 67'!$A$37:$F$40</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mcount" hidden="1">4</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LL">#REF!</definedName>
    <definedName name="LLs">#REF!</definedName>
    <definedName name="Lmk">#REF!</definedName>
    <definedName name="Lms">#REF!</definedName>
    <definedName name="Lmt">#REF!</definedName>
    <definedName name="LMU">#REF!</definedName>
    <definedName name="LMUSelected">#REF!</definedName>
    <definedName name="ln">1</definedName>
    <definedName name="Lnh">#REF!</definedName>
    <definedName name="Lnsc">#REF!</definedName>
    <definedName name="lntt">#REF!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#REF!</definedName>
    <definedName name="MINH">#REF!</definedName>
    <definedName name="minh_1">#REF!</definedName>
    <definedName name="minh_mtk">#REF!</definedName>
    <definedName name="minh1">#REF!</definedName>
    <definedName name="Minolta">#REF!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#REF!</definedName>
    <definedName name="MNTC">#REF!</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nt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êm1999">#REF!</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hepnaphl">#REF!</definedName>
    <definedName name="nctn">#REF!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wPOS">#REF!</definedName>
    <definedName name="NEXT">#REF!</definedName>
    <definedName name="nfru6">#REF!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ayso01_11">#REF!</definedName>
    <definedName name="Ngayso02_11">#REF!</definedName>
    <definedName name="Ngayso03_11">#REF!</definedName>
    <definedName name="Nghệ_An">#REF!</definedName>
    <definedName name="nght">#REF!</definedName>
    <definedName name="ngu" hidden="1">{"'Sheet1'!$L$16"}</definedName>
    <definedName name="NH">#REF!</definedName>
    <definedName name="Nh_n_cáng">#REF!</definedName>
    <definedName name="Nha">#REF!</definedName>
    <definedName name="NHAÂN_COÂNG">[0]!cap</definedName>
    <definedName name="NHAÄP">#REF!</definedName>
    <definedName name="Nhâm_CT">#REF!</definedName>
    <definedName name="Nhâm_Ctr">#REF!</definedName>
    <definedName name="Nhán_cäng">#REF!</definedName>
    <definedName name="Nhan_xet_cua_dai">"Picture 1"</definedName>
    <definedName name="Nhancong2">#REF!</definedName>
    <definedName name="NHANH2_CG4" hidden="1">{"'Sheet1'!$L$16"}</definedName>
    <definedName name="Nhapsolieu">#REF!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h">{"DZ-TDTB2.XLS","Dcksat.xls"}</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[11]NSĐP!$M$14:$M$240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 localSheetId="0">MATCH(0.01,End_Bal,-1)+1</definedName>
    <definedName name="Number_of_Payments" localSheetId="1">MATCH(0.01,End_Bal,-1)+1</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oooooooooooooooooooooooooooooo">#REF!</definedName>
    <definedName name="open">#REF!</definedName>
    <definedName name="OPENING_d">#REF!</definedName>
    <definedName name="ophom">#REF!</definedName>
    <definedName name="options">#REF!</definedName>
    <definedName name="ORD">#REF!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Pier">#REF!</definedName>
    <definedName name="PierData">#REF!</definedName>
    <definedName name="PIL">#REF!</definedName>
    <definedName name="PileSize">#REF!</definedName>
    <definedName name="PileType">#REF!</definedName>
    <definedName name="PIP" localSheetId="0">BlankMacro1</definedName>
    <definedName name="PIP" localSheetId="1">BlankMacro1</definedName>
    <definedName name="PIP">BlankMacro1</definedName>
    <definedName name="PIPE2" localSheetId="0">BlankMacro1</definedName>
    <definedName name="PIPE2" localSheetId="1">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 localSheetId="0">BlankMacro1</definedName>
    <definedName name="PPP" localSheetId="1">BlankMacro1</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0">'45.1'!$A$1:$AN$156</definedName>
    <definedName name="_xlnm.Print_Area" localSheetId="1">'45.2'!$A$1:$AM$102</definedName>
    <definedName name="_xlnm.Print_Area" localSheetId="2">'45.3'!$A$1:$AC$17</definedName>
    <definedName name="_xlnm.Print_Area" localSheetId="4">'45.4'!$A$1:$BB$85</definedName>
    <definedName name="_xlnm.Print_Area" localSheetId="3">'45.5'!$A$2:$AW$29</definedName>
    <definedName name="_xlnm.Print_Area" localSheetId="6">'45.7'!$A$1:$K$26</definedName>
    <definedName name="_xlnm.Print_Area">#REF!</definedName>
    <definedName name="PRINT_AREA_MI">#REF!</definedName>
    <definedName name="_xlnm.Print_Titles" localSheetId="0">'45.1'!$6:$10</definedName>
    <definedName name="_xlnm.Print_Titles" localSheetId="1">'45.2'!$6:$10</definedName>
    <definedName name="_xlnm.Print_Titles" localSheetId="4">'45.4'!$6:$9</definedName>
    <definedName name="_xlnm.Print_Titles" localSheetId="5">'45.6'!$6:$10</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ject_Number">#REF!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0">[0]!Raûi_pheân_tre</definedName>
    <definedName name="PtichDTL" localSheetId="1">[0]!Raûi_pheân_tre</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q">#REF!</definedName>
    <definedName name="Q__sè_721_Q__KH_T___27_5_03" localSheetId="0">__</definedName>
    <definedName name="Q__sè_721_Q__KH_T___27_5_03" localSheetId="1">__</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can">#REF!</definedName>
    <definedName name="qng">#REF!</definedName>
    <definedName name="qp">#REF!</definedName>
    <definedName name="QQ" hidden="1">{"'Sheet1'!$L$16"}</definedName>
    <definedName name="qqq">#REF!</definedName>
    <definedName name="qqqqq">#REF!</definedName>
    <definedName name="qqqqqqqqqqq">#REF!</definedName>
    <definedName name="qqqqqqqqqqqqqqqqqqqqqqqqqqqqqqqqqqqqqqqqqq">#REF!</definedName>
    <definedName name="qtcgdII">#REF!</definedName>
    <definedName name="qtdm">#REF!</definedName>
    <definedName name="qtinh">#REF!</definedName>
    <definedName name="qttgdII">#REF!</definedName>
    <definedName name="QT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ảng_Bình">#REF!</definedName>
    <definedName name="Quảng_Nam">#REF!</definedName>
    <definedName name="Quảng_Ngãi">#REF!</definedName>
    <definedName name="Quảng_Ninh">#REF!</definedName>
    <definedName name="QUANGTIEN2">#REF!</definedName>
    <definedName name="Quantities">#REF!</definedName>
    <definedName name="quit">#REF!</definedName>
    <definedName name="quoan" hidden="1">{"'Sheet1'!$L$16"}</definedName>
    <definedName name="QUY" localSheetId="0">BlankMacro1</definedName>
    <definedName name="QUY" localSheetId="1">BlankMacro1</definedName>
    <definedName name="QUY">BlankMacro1</definedName>
    <definedName name="QUY.1">#REF!</definedName>
    <definedName name="QUYÌNH">#REF!</definedName>
    <definedName name="qx">#REF!</definedName>
    <definedName name="qx0">#REF!</definedName>
    <definedName name="qy">#REF!</definedName>
    <definedName name="r_">#REF!</definedName>
    <definedName name="R_mong">#REF!</definedName>
    <definedName name="R_tt">#REF!</definedName>
    <definedName name="R2.6">#REF!</definedName>
    <definedName name="r455666666666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CF">#REF!</definedName>
    <definedName name="rche">#REF!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pp">#REF!</definedName>
    <definedName name="rps">#REF!</definedName>
    <definedName name="rr">{"doi chieu doanh thhu.xls","sua 1 (4doan da).xls","KLDaMoCoi169.170000.xls"}</definedName>
    <definedName name="Rrpo">#REF!</definedName>
    <definedName name="RRRR" hidden="1">{"'Sheet1'!$L$16"}</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TPhi">#REF!</definedName>
    <definedName name="RWTPlo">#REF!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1111111111111111111111111111111">#REF!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2344444444">#REF!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cv">#REF!</definedName>
    <definedName name="sd1p">#REF!</definedName>
    <definedName name="sd3p">#REF!</definedName>
    <definedName name="SDA">[11]NSĐP!$C$14:$C$240</definedName>
    <definedName name="sdbv" hidden="1">{"'Sheet1'!$L$16"}</definedName>
    <definedName name="sdf" hidden="1">{"'Sheet1'!$L$16"}</definedName>
    <definedName name="sdfsdfs" hidden="1">#REF!</definedName>
    <definedName name="SDJKLGJLGLG" localSheetId="0">BlankMacro1</definedName>
    <definedName name="SDJKLGJLGLG" localSheetId="1">BlankMacro1</definedName>
    <definedName name="SDJKLGJLGLG">BlankMacro1</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4</definedName>
    <definedName name="Sensation">#REF!</definedName>
    <definedName name="sfasf" hidden="1">#REF!</definedName>
    <definedName name="sfdsfsd" hidden="1">{"'Sheet1'!$L$16"}</definedName>
    <definedName name="SFL">#REF!</definedName>
    <definedName name="sfsd" hidden="1">{"'Sheet1'!$L$16"}</definedName>
    <definedName name="sgsgdd" hidden="1">#N/A</definedName>
    <definedName name="sgsgsgs" hidden="1">#N/A</definedName>
    <definedName name="SH">#REF!</definedName>
    <definedName name="SHALL">#REF!</definedName>
    <definedName name="sharp">#REF!</definedName>
    <definedName name="SHDG">#REF!</definedName>
    <definedName name="Sheet1">#REF!</definedName>
    <definedName name="Sheet3" localSheetId="0">BlankMacro1</definedName>
    <definedName name="Sheet3" localSheetId="1">BlankMacro1</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g">#REF!</definedName>
    <definedName name="snlt">#REF!</definedName>
    <definedName name="So_Xau">[20]!So_Xau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reet_Address">#REF!</definedName>
    <definedName name="Stt">#REF!</definedName>
    <definedName name="SU">#REF!</definedName>
    <definedName name="Sua" localSheetId="0">BlankMacro1</definedName>
    <definedName name="Sua" localSheetId="1">BlankMacro1</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hanhCai">#REF!</definedName>
    <definedName name="T_tu">#REF!</definedName>
    <definedName name="T_Xa_Cot_GiaDo">#REF!</definedName>
    <definedName name="T02_DANH_MUC_CONG_VIEC">#REF!</definedName>
    <definedName name="T09_DINH_MUC_DU_TOAN">#REF!</definedName>
    <definedName name="T1_98_DAKLAK_List">#REF!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HBINH1">#REF!</definedName>
    <definedName name="T45QTANPHU">#REF!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g">100</definedName>
    <definedName name="Täng_kinh_phÏ_x_y_l_p">#REF!</definedName>
    <definedName name="TANPHU">#REF!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hidden="1">#REF!</definedName>
    <definedName name="tbmc">#REF!</definedName>
    <definedName name="TBSGP">#REF!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êi_diÖn_5_T">#REF!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goi">#REF!</definedName>
    <definedName name="TenHMuc">#REF!</definedName>
    <definedName name="TenNgam">#REF!</definedName>
    <definedName name="TenTreo">#REF!</definedName>
    <definedName name="TenVtu">#REF!</definedName>
    <definedName name="tenvung">#REF!</definedName>
    <definedName name="Terminal_Serviceability">#REF!</definedName>
    <definedName name="test">#REF!</definedName>
    <definedName name="test1">#REF!</definedName>
    <definedName name="Test5">#REF!</definedName>
    <definedName name="text">#REF!,#REF!,#REF!,#REF!,#REF!</definedName>
    <definedName name="TGLS">#REF!</definedName>
    <definedName name="TGTH">#REF!</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#REF!</definedName>
    <definedName name="TH_VKHNN">#REF!</definedName>
    <definedName name="tha" hidden="1">{"'Sheet1'!$L$16"}</definedName>
    <definedName name="Þa__iÓm">#REF!</definedName>
    <definedName name="thai">#REF!</definedName>
    <definedName name="thang">#REF!</definedName>
    <definedName name="Thang_Long">#REF!</definedName>
    <definedName name="Thang_Long_GT">#REF!</definedName>
    <definedName name="thang10"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MAKH">#REF!</definedName>
    <definedName name="THU_ST">#REF!</definedName>
    <definedName name="Thừa_Thiên_Huế">#REF!</definedName>
    <definedName name="THUDUC1">#REF!</definedName>
    <definedName name="THUDUC2">#REF!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[18]NSĐP!$P$7:$P$184</definedName>
    <definedName name="tinhtrangTH">[18]NSĐP!$V$7:$V$184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'[21]BM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[21]BANCO!$E$123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hop11">#REF!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h">#REF!</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rung">{"Thuxm2.xls","Sheet1"}</definedName>
    <definedName name="ts">#REF!</definedName>
    <definedName name="tsI">#REF!</definedName>
    <definedName name="tt">#REF!</definedName>
    <definedName name="TT.1">[11]NSĐP!$U$14:$U$240</definedName>
    <definedName name="TT.2">[11]NSĐP!$V$14:$V$240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hi">#REF!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r">#REF!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VAn5">#REF!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ppppppppppppppppppp">#REF!</definedName>
    <definedName name="TuVan">#REF!</definedName>
    <definedName name="tuyen">#REF!</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 localSheetId="0">BlankMacro1</definedName>
    <definedName name="TYT" localSheetId="1">BlankMacro1</definedName>
    <definedName name="TYT">BlankMacro1</definedName>
    <definedName name="tytrong16so5nam">'[17]PLI CTrinh'!$CN$10</definedName>
    <definedName name="u" hidden="1">{"'Sheet1'!$L$16"}</definedName>
    <definedName name="ư" hidden="1">{"'Sheet1'!$L$16"}</definedName>
    <definedName name="U_tien">#REF!</definedName>
    <definedName name="u8l5">#REF!</definedName>
    <definedName name="Ucoc">#REF!</definedName>
    <definedName name="ufny">#REF!</definedName>
    <definedName name="un">#REF!</definedName>
    <definedName name="UNIT">#REF!</definedName>
    <definedName name="Unit_Price">#REF!</definedName>
    <definedName name="unitt" localSheetId="0">BlankMacro1</definedName>
    <definedName name="unitt" localSheetId="1">BlankMacro1</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 localSheetId="0">BlankMacro1</definedName>
    <definedName name="ut" localSheetId="1">BlankMacro1</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HT">#REF!</definedName>
    <definedName name="vcn">#REF!</definedName>
    <definedName name="vcnuoc0.4">#REF!</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re">#REF!</definedName>
    <definedName name="VCTT">#REF!</definedName>
    <definedName name="VCVBT1">#REF!</definedName>
    <definedName name="VCVBT2">#REF!</definedName>
    <definedName name="vcxi">#REF!</definedName>
    <definedName name="vcxm">#REF!</definedName>
    <definedName name="vcxm0.4">#REF!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Hbom">#REF!</definedName>
    <definedName name="Via_He">#REF!</definedName>
    <definedName name="Viet" hidden="1">{"'Sheet1'!$L$16"}</definedName>
    <definedName name="VIEW">#REF!</definedName>
    <definedName name="vinhlong" hidden="1">{"'Sheet1'!$L$16"}</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vvvvvvvvv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#REF!</definedName>
    <definedName name="vxuan">#REF!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ân">#REF!</definedName>
    <definedName name="Xuat_hien2">#REF!</definedName>
    <definedName name="Xuat_hien3">#REF!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yyyyyyyyyyyyyyyyyyy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#REF!</definedName>
    <definedName name="ZZZ">#REF!</definedName>
    <definedName name="もりた">#REF!</definedName>
    <definedName name="전">#REF!</definedName>
    <definedName name="주택사업본부">#REF!</definedName>
    <definedName name="철구사업본부">#REF!</definedName>
    <definedName name="템플리트모듈1" localSheetId="0">BlankMacro1</definedName>
    <definedName name="템플리트모듈1" localSheetId="1">BlankMacro1</definedName>
    <definedName name="템플리트모듈1">BlankMacro1</definedName>
    <definedName name="템플리트모듈2" localSheetId="0">BlankMacro1</definedName>
    <definedName name="템플리트모듈2" localSheetId="1">BlankMacro1</definedName>
    <definedName name="템플리트모듈2">BlankMacro1</definedName>
    <definedName name="템플리트모듈3" localSheetId="0">BlankMacro1</definedName>
    <definedName name="템플리트모듈3" localSheetId="1">BlankMacro1</definedName>
    <definedName name="템플리트모듈3">BlankMacro1</definedName>
    <definedName name="템플리트모듈4" localSheetId="0">BlankMacro1</definedName>
    <definedName name="템플리트모듈4" localSheetId="1">BlankMacro1</definedName>
    <definedName name="템플리트모듈4">BlankMacro1</definedName>
    <definedName name="템플리트모듈5" localSheetId="0">BlankMacro1</definedName>
    <definedName name="템플리트모듈5" localSheetId="1">BlankMacro1</definedName>
    <definedName name="템플리트모듈5">BlankMacro1</definedName>
    <definedName name="템플리트모듈6" localSheetId="0">BlankMacro1</definedName>
    <definedName name="템플리트모듈6" localSheetId="1">BlankMacro1</definedName>
    <definedName name="템플리트모듈6">BlankMacro1</definedName>
    <definedName name="피팅" localSheetId="0">BlankMacro1</definedName>
    <definedName name="피팅" localSheetId="1">BlankMacro1</definedName>
    <definedName name="피팅">BlankMacro1</definedName>
    <definedName name="勝">#REF!</definedName>
    <definedName name="工事">#REF!</definedName>
    <definedName name="現法">#REF!</definedName>
    <definedName name="直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7" l="1"/>
  <c r="G26" i="7"/>
  <c r="E26" i="7"/>
  <c r="D26" i="7"/>
  <c r="H25" i="7"/>
  <c r="G25" i="7"/>
  <c r="E25" i="7"/>
  <c r="D25" i="7"/>
  <c r="H24" i="7"/>
  <c r="G24" i="7"/>
  <c r="E24" i="7"/>
  <c r="D24" i="7"/>
  <c r="J23" i="7"/>
  <c r="H23" i="7"/>
  <c r="E23" i="7"/>
  <c r="D23" i="7"/>
  <c r="H22" i="7"/>
  <c r="G22" i="7"/>
  <c r="E22" i="7"/>
  <c r="D22" i="7"/>
  <c r="H21" i="7"/>
  <c r="G21" i="7"/>
  <c r="E21" i="7"/>
  <c r="D21" i="7"/>
  <c r="J20" i="7"/>
  <c r="H20" i="7"/>
  <c r="G20" i="7"/>
  <c r="E20" i="7" s="1"/>
  <c r="D20" i="7" s="1"/>
  <c r="U20" i="7" s="1"/>
  <c r="H19" i="7"/>
  <c r="G19" i="7"/>
  <c r="E19" i="7" s="1"/>
  <c r="D19" i="7" s="1"/>
  <c r="H18" i="7"/>
  <c r="G18" i="7"/>
  <c r="E18" i="7" s="1"/>
  <c r="D18" i="7" s="1"/>
  <c r="H17" i="7"/>
  <c r="G17" i="7"/>
  <c r="E17" i="7" s="1"/>
  <c r="D17" i="7" s="1"/>
  <c r="H16" i="7"/>
  <c r="G16" i="7"/>
  <c r="E16" i="7" s="1"/>
  <c r="D16" i="7" s="1"/>
  <c r="H15" i="7"/>
  <c r="G15" i="7"/>
  <c r="E15" i="7" s="1"/>
  <c r="D15" i="7" s="1"/>
  <c r="H14" i="7"/>
  <c r="G14" i="7"/>
  <c r="E14" i="7" s="1"/>
  <c r="D14" i="7" s="1"/>
  <c r="H13" i="7"/>
  <c r="H11" i="7" s="1"/>
  <c r="G13" i="7"/>
  <c r="H12" i="7"/>
  <c r="E12" i="7"/>
  <c r="D12" i="7"/>
  <c r="N11" i="7"/>
  <c r="J11" i="7"/>
  <c r="I11" i="7"/>
  <c r="X11" i="7" s="1"/>
  <c r="F11" i="7"/>
  <c r="M11" i="7" s="1"/>
  <c r="T20" i="6"/>
  <c r="Z19" i="6"/>
  <c r="T19" i="6"/>
  <c r="N19" i="6"/>
  <c r="T18" i="6"/>
  <c r="R18" i="6"/>
  <c r="Q18" i="6" s="1"/>
  <c r="N18" i="6"/>
  <c r="Z18" i="6" s="1"/>
  <c r="T17" i="6"/>
  <c r="N17" i="6"/>
  <c r="R17" i="6" s="1"/>
  <c r="Q17" i="6" s="1"/>
  <c r="Z16" i="6"/>
  <c r="U16" i="6"/>
  <c r="T16" i="6" s="1"/>
  <c r="R16" i="6"/>
  <c r="Q16" i="6"/>
  <c r="N16" i="6"/>
  <c r="T15" i="6"/>
  <c r="R15" i="6"/>
  <c r="Q15" i="6" s="1"/>
  <c r="N15" i="6"/>
  <c r="Z15" i="6" s="1"/>
  <c r="T14" i="6"/>
  <c r="N14" i="6"/>
  <c r="R14" i="6" s="1"/>
  <c r="Q14" i="6" s="1"/>
  <c r="Z13" i="6"/>
  <c r="U13" i="6"/>
  <c r="T13" i="6" s="1"/>
  <c r="R13" i="6"/>
  <c r="Q13" i="6"/>
  <c r="N13" i="6"/>
  <c r="U12" i="6"/>
  <c r="S12" i="6"/>
  <c r="S11" i="6" s="1"/>
  <c r="P12" i="6"/>
  <c r="O12" i="6"/>
  <c r="O11" i="6" s="1"/>
  <c r="M12" i="6"/>
  <c r="K12" i="6"/>
  <c r="K11" i="6" s="1"/>
  <c r="J12" i="6"/>
  <c r="I12" i="6"/>
  <c r="H12" i="6"/>
  <c r="X11" i="6"/>
  <c r="V11" i="6"/>
  <c r="U11" i="6"/>
  <c r="P11" i="6"/>
  <c r="M11" i="6"/>
  <c r="J11" i="6"/>
  <c r="I11" i="6"/>
  <c r="H11" i="6"/>
  <c r="AL29" i="5"/>
  <c r="AK29" i="5"/>
  <c r="AB29" i="5"/>
  <c r="AB26" i="5" s="1"/>
  <c r="AB16" i="5" s="1"/>
  <c r="AA29" i="5"/>
  <c r="AT28" i="5"/>
  <c r="AL28" i="5"/>
  <c r="AK28" i="5"/>
  <c r="AF28" i="5"/>
  <c r="AA28" i="5"/>
  <c r="W28" i="5"/>
  <c r="R28" i="5"/>
  <c r="O28" i="5"/>
  <c r="K28" i="5"/>
  <c r="K26" i="5" s="1"/>
  <c r="K16" i="5" s="1"/>
  <c r="AL27" i="5"/>
  <c r="AT27" i="5" s="1"/>
  <c r="AK27" i="5"/>
  <c r="AJ27" i="5"/>
  <c r="AP27" i="5" s="1"/>
  <c r="AG27" i="5"/>
  <c r="AF27" i="5"/>
  <c r="AF26" i="5" s="1"/>
  <c r="AA27" i="5"/>
  <c r="AA26" i="5" s="1"/>
  <c r="X27" i="5"/>
  <c r="U27" i="5"/>
  <c r="R27" i="5"/>
  <c r="O27" i="5"/>
  <c r="AR26" i="5"/>
  <c r="AQ26" i="5"/>
  <c r="AQ16" i="5" s="1"/>
  <c r="AP26" i="5"/>
  <c r="AP16" i="5" s="1"/>
  <c r="AO26" i="5"/>
  <c r="AN26" i="5"/>
  <c r="AM26" i="5"/>
  <c r="AM16" i="5" s="1"/>
  <c r="AL26" i="5"/>
  <c r="AJ26" i="5"/>
  <c r="AI26" i="5"/>
  <c r="AI16" i="5" s="1"/>
  <c r="AH26" i="5"/>
  <c r="AH16" i="5" s="1"/>
  <c r="AG26" i="5"/>
  <c r="AE26" i="5"/>
  <c r="AE16" i="5" s="1"/>
  <c r="AD26" i="5"/>
  <c r="AD16" i="5" s="1"/>
  <c r="AC26" i="5"/>
  <c r="Y26" i="5"/>
  <c r="V26" i="5"/>
  <c r="V16" i="5" s="1"/>
  <c r="T26" i="5"/>
  <c r="S26" i="5"/>
  <c r="S16" i="5" s="1"/>
  <c r="R26" i="5"/>
  <c r="R16" i="5" s="1"/>
  <c r="Q26" i="5"/>
  <c r="P26" i="5"/>
  <c r="N26" i="5"/>
  <c r="N16" i="5" s="1"/>
  <c r="M26" i="5"/>
  <c r="AT25" i="5"/>
  <c r="AL25" i="5"/>
  <c r="AK25" i="5"/>
  <c r="AF25" i="5"/>
  <c r="AA25" i="5"/>
  <c r="AA23" i="5" s="1"/>
  <c r="AA16" i="5" s="1"/>
  <c r="X25" i="5"/>
  <c r="U25" i="5"/>
  <c r="R25" i="5"/>
  <c r="O25" i="5"/>
  <c r="AT24" i="5"/>
  <c r="AL24" i="5"/>
  <c r="AK24" i="5"/>
  <c r="AF24" i="5"/>
  <c r="AF23" i="5" s="1"/>
  <c r="AA24" i="5"/>
  <c r="X24" i="5"/>
  <c r="R24" i="5"/>
  <c r="O24" i="5"/>
  <c r="O23" i="5" s="1"/>
  <c r="AR23" i="5"/>
  <c r="AQ23" i="5"/>
  <c r="AP23" i="5"/>
  <c r="AO23" i="5"/>
  <c r="AO16" i="5" s="1"/>
  <c r="AN23" i="5"/>
  <c r="AM23" i="5"/>
  <c r="AL23" i="5"/>
  <c r="AK23" i="5"/>
  <c r="AJ23" i="5"/>
  <c r="AI23" i="5"/>
  <c r="AH23" i="5"/>
  <c r="AG23" i="5"/>
  <c r="AG16" i="5" s="1"/>
  <c r="AE23" i="5"/>
  <c r="AD23" i="5"/>
  <c r="AC23" i="5"/>
  <c r="AB23" i="5"/>
  <c r="Z23" i="5"/>
  <c r="Y23" i="5"/>
  <c r="Y16" i="5" s="1"/>
  <c r="X23" i="5"/>
  <c r="W23" i="5"/>
  <c r="V23" i="5"/>
  <c r="U23" i="5"/>
  <c r="T23" i="5"/>
  <c r="S23" i="5"/>
  <c r="R23" i="5"/>
  <c r="Q23" i="5"/>
  <c r="Q16" i="5" s="1"/>
  <c r="P23" i="5"/>
  <c r="M23" i="5"/>
  <c r="L23" i="5"/>
  <c r="K23" i="5"/>
  <c r="AT22" i="5"/>
  <c r="AT21" i="5"/>
  <c r="AT20" i="5"/>
  <c r="AT19" i="5"/>
  <c r="AT18" i="5"/>
  <c r="AT17" i="5"/>
  <c r="AR16" i="5"/>
  <c r="AN16" i="5"/>
  <c r="AJ16" i="5"/>
  <c r="AC16" i="5"/>
  <c r="T16" i="5"/>
  <c r="P16" i="5"/>
  <c r="M16" i="5"/>
  <c r="J16" i="5"/>
  <c r="A3" i="5"/>
  <c r="T85" i="4"/>
  <c r="O85" i="4"/>
  <c r="U84" i="4"/>
  <c r="U83" i="4" s="1"/>
  <c r="T84" i="4"/>
  <c r="T83" i="4" s="1"/>
  <c r="O84" i="4"/>
  <c r="X83" i="4"/>
  <c r="W83" i="4"/>
  <c r="V83" i="4"/>
  <c r="S83" i="4"/>
  <c r="R83" i="4"/>
  <c r="Q83" i="4"/>
  <c r="P83" i="4"/>
  <c r="O83" i="4"/>
  <c r="N83" i="4"/>
  <c r="M83" i="4"/>
  <c r="L83" i="4"/>
  <c r="K83" i="4"/>
  <c r="J83" i="4"/>
  <c r="I83" i="4"/>
  <c r="H83" i="4"/>
  <c r="G83" i="4"/>
  <c r="T82" i="4"/>
  <c r="O82" i="4"/>
  <c r="U81" i="4"/>
  <c r="T81" i="4"/>
  <c r="O81" i="4"/>
  <c r="O80" i="4" s="1"/>
  <c r="X80" i="4"/>
  <c r="W80" i="4"/>
  <c r="V80" i="4"/>
  <c r="U80" i="4"/>
  <c r="S80" i="4"/>
  <c r="R80" i="4"/>
  <c r="Q80" i="4"/>
  <c r="P80" i="4"/>
  <c r="N80" i="4"/>
  <c r="M80" i="4"/>
  <c r="L80" i="4"/>
  <c r="K80" i="4"/>
  <c r="J80" i="4"/>
  <c r="I80" i="4"/>
  <c r="H80" i="4"/>
  <c r="G80" i="4"/>
  <c r="AZ79" i="4"/>
  <c r="V79" i="4"/>
  <c r="T79" i="4"/>
  <c r="Q79" i="4"/>
  <c r="P79" i="4"/>
  <c r="O79" i="4"/>
  <c r="L79" i="4"/>
  <c r="J79" i="4"/>
  <c r="G79" i="4"/>
  <c r="T78" i="4"/>
  <c r="O78" i="4"/>
  <c r="K78" i="4"/>
  <c r="Q78" i="4" s="1"/>
  <c r="P78" i="4" s="1"/>
  <c r="G78" i="4"/>
  <c r="AZ77" i="4"/>
  <c r="T77" i="4"/>
  <c r="Q77" i="4"/>
  <c r="P77" i="4"/>
  <c r="O77" i="4"/>
  <c r="J77" i="4"/>
  <c r="G77" i="4"/>
  <c r="V76" i="4"/>
  <c r="T76" i="4"/>
  <c r="L76" i="4"/>
  <c r="K76" i="4" s="1"/>
  <c r="G76" i="4"/>
  <c r="G75" i="4" s="1"/>
  <c r="AD75" i="4"/>
  <c r="AA75" i="4"/>
  <c r="X75" i="4"/>
  <c r="W75" i="4"/>
  <c r="V75" i="4"/>
  <c r="U75" i="4"/>
  <c r="T75" i="4"/>
  <c r="S75" i="4"/>
  <c r="R75" i="4"/>
  <c r="N75" i="4"/>
  <c r="M75" i="4"/>
  <c r="L75" i="4"/>
  <c r="I75" i="4"/>
  <c r="H75" i="4"/>
  <c r="AE75" i="4" s="1"/>
  <c r="V74" i="4"/>
  <c r="T74" i="4"/>
  <c r="L74" i="4"/>
  <c r="K74" i="4"/>
  <c r="Q74" i="4" s="1"/>
  <c r="P74" i="4" s="1"/>
  <c r="O74" i="4" s="1"/>
  <c r="J74" i="4"/>
  <c r="AZ74" i="4" s="1"/>
  <c r="G74" i="4"/>
  <c r="V73" i="4"/>
  <c r="T73" i="4"/>
  <c r="T71" i="4" s="1"/>
  <c r="L73" i="4"/>
  <c r="G73" i="4"/>
  <c r="AZ72" i="4"/>
  <c r="T72" i="4"/>
  <c r="Q72" i="4"/>
  <c r="P72" i="4"/>
  <c r="O72" i="4"/>
  <c r="K72" i="4"/>
  <c r="J72" i="4"/>
  <c r="G72" i="4"/>
  <c r="Y71" i="4"/>
  <c r="X71" i="4"/>
  <c r="W71" i="4"/>
  <c r="V71" i="4"/>
  <c r="U71" i="4"/>
  <c r="S71" i="4"/>
  <c r="R71" i="4"/>
  <c r="N71" i="4"/>
  <c r="M71" i="4"/>
  <c r="I71" i="4"/>
  <c r="H71" i="4"/>
  <c r="G71" i="4"/>
  <c r="AZ70" i="4"/>
  <c r="V70" i="4"/>
  <c r="T70" i="4"/>
  <c r="P70" i="4"/>
  <c r="O70" i="4" s="1"/>
  <c r="L70" i="4"/>
  <c r="K70" i="4"/>
  <c r="Q70" i="4" s="1"/>
  <c r="J70" i="4"/>
  <c r="G70" i="4"/>
  <c r="K69" i="4"/>
  <c r="G69" i="4"/>
  <c r="T68" i="4"/>
  <c r="K68" i="4"/>
  <c r="G68" i="4"/>
  <c r="T67" i="4"/>
  <c r="K67" i="4"/>
  <c r="G67" i="4"/>
  <c r="T66" i="4"/>
  <c r="K66" i="4"/>
  <c r="G66" i="4"/>
  <c r="X65" i="4"/>
  <c r="W65" i="4"/>
  <c r="V65" i="4"/>
  <c r="S65" i="4"/>
  <c r="R65" i="4"/>
  <c r="N65" i="4"/>
  <c r="M65" i="4"/>
  <c r="L65" i="4"/>
  <c r="I65" i="4"/>
  <c r="H65" i="4"/>
  <c r="G65" i="4"/>
  <c r="T64" i="4"/>
  <c r="M64" i="4"/>
  <c r="M61" i="4" s="1"/>
  <c r="AZ63" i="4"/>
  <c r="V63" i="4"/>
  <c r="T63" i="4"/>
  <c r="P63" i="4"/>
  <c r="O63" i="4" s="1"/>
  <c r="L63" i="4"/>
  <c r="K63" i="4"/>
  <c r="Q63" i="4" s="1"/>
  <c r="J63" i="4"/>
  <c r="G63" i="4"/>
  <c r="T62" i="4"/>
  <c r="Q62" i="4"/>
  <c r="K62" i="4"/>
  <c r="J62" i="4"/>
  <c r="G62" i="4"/>
  <c r="X61" i="4"/>
  <c r="W61" i="4"/>
  <c r="V61" i="4"/>
  <c r="U61" i="4"/>
  <c r="T61" i="4"/>
  <c r="S61" i="4"/>
  <c r="R61" i="4"/>
  <c r="N61" i="4"/>
  <c r="L61" i="4"/>
  <c r="K61" i="4"/>
  <c r="I61" i="4"/>
  <c r="H61" i="4"/>
  <c r="G61" i="4"/>
  <c r="T60" i="4"/>
  <c r="Q60" i="4"/>
  <c r="P60" i="4" s="1"/>
  <c r="O60" i="4" s="1"/>
  <c r="K60" i="4"/>
  <c r="J60" i="4"/>
  <c r="AZ60" i="4" s="1"/>
  <c r="G60" i="4"/>
  <c r="V59" i="4"/>
  <c r="L59" i="4"/>
  <c r="G59" i="4"/>
  <c r="AZ58" i="4"/>
  <c r="V58" i="4"/>
  <c r="T58" i="4"/>
  <c r="Q58" i="4"/>
  <c r="P58" i="4" s="1"/>
  <c r="L58" i="4"/>
  <c r="K58" i="4"/>
  <c r="G58" i="4"/>
  <c r="X57" i="4"/>
  <c r="W57" i="4"/>
  <c r="V57" i="4"/>
  <c r="S57" i="4"/>
  <c r="R57" i="4"/>
  <c r="N57" i="4"/>
  <c r="M57" i="4"/>
  <c r="I57" i="4"/>
  <c r="H57" i="4"/>
  <c r="AZ56" i="4"/>
  <c r="T56" i="4"/>
  <c r="K56" i="4"/>
  <c r="Q56" i="4" s="1"/>
  <c r="P56" i="4" s="1"/>
  <c r="O56" i="4" s="1"/>
  <c r="AZ55" i="4"/>
  <c r="U55" i="4"/>
  <c r="T55" i="4" s="1"/>
  <c r="T52" i="4" s="1"/>
  <c r="O55" i="4"/>
  <c r="K55" i="4"/>
  <c r="Q55" i="4" s="1"/>
  <c r="P55" i="4" s="1"/>
  <c r="T54" i="4"/>
  <c r="Q54" i="4"/>
  <c r="P54" i="4"/>
  <c r="O54" i="4" s="1"/>
  <c r="K54" i="4"/>
  <c r="J54" i="4"/>
  <c r="AZ54" i="4" s="1"/>
  <c r="G54" i="4"/>
  <c r="G52" i="4" s="1"/>
  <c r="V53" i="4"/>
  <c r="T53" i="4"/>
  <c r="L53" i="4"/>
  <c r="K53" i="4"/>
  <c r="G53" i="4"/>
  <c r="X52" i="4"/>
  <c r="W52" i="4"/>
  <c r="V52" i="4"/>
  <c r="U52" i="4"/>
  <c r="S52" i="4"/>
  <c r="R52" i="4"/>
  <c r="N52" i="4"/>
  <c r="M52" i="4"/>
  <c r="L52" i="4"/>
  <c r="I52" i="4"/>
  <c r="H52" i="4"/>
  <c r="T51" i="4"/>
  <c r="N51" i="4"/>
  <c r="N44" i="4" s="1"/>
  <c r="G51" i="4"/>
  <c r="T50" i="4"/>
  <c r="Q50" i="4"/>
  <c r="P50" i="4" s="1"/>
  <c r="O50" i="4" s="1"/>
  <c r="K50" i="4"/>
  <c r="J50" i="4"/>
  <c r="AZ50" i="4" s="1"/>
  <c r="G50" i="4"/>
  <c r="U49" i="4"/>
  <c r="U44" i="4" s="1"/>
  <c r="O49" i="4"/>
  <c r="K49" i="4"/>
  <c r="Q49" i="4" s="1"/>
  <c r="P49" i="4" s="1"/>
  <c r="J49" i="4"/>
  <c r="AZ49" i="4" s="1"/>
  <c r="G49" i="4"/>
  <c r="AZ48" i="4"/>
  <c r="T48" i="4"/>
  <c r="K48" i="4"/>
  <c r="J48" i="4"/>
  <c r="G48" i="4"/>
  <c r="AZ47" i="4"/>
  <c r="V47" i="4"/>
  <c r="T47" i="4"/>
  <c r="L47" i="4"/>
  <c r="K47" i="4"/>
  <c r="Q47" i="4" s="1"/>
  <c r="P47" i="4" s="1"/>
  <c r="O47" i="4" s="1"/>
  <c r="J47" i="4"/>
  <c r="AZ46" i="4"/>
  <c r="T46" i="4"/>
  <c r="Q46" i="4"/>
  <c r="P46" i="4"/>
  <c r="O46" i="4"/>
  <c r="K46" i="4"/>
  <c r="J46" i="4"/>
  <c r="G46" i="4"/>
  <c r="AZ45" i="4"/>
  <c r="T45" i="4"/>
  <c r="P45" i="4"/>
  <c r="K45" i="4"/>
  <c r="Q45" i="4" s="1"/>
  <c r="J45" i="4"/>
  <c r="G45" i="4"/>
  <c r="G44" i="4" s="1"/>
  <c r="X44" i="4"/>
  <c r="W44" i="4"/>
  <c r="V44" i="4"/>
  <c r="S44" i="4"/>
  <c r="R44" i="4"/>
  <c r="L44" i="4"/>
  <c r="J44" i="4"/>
  <c r="AZ44" i="4" s="1"/>
  <c r="I44" i="4"/>
  <c r="H44" i="4"/>
  <c r="AA43" i="4"/>
  <c r="Z43" i="4"/>
  <c r="T43" i="4"/>
  <c r="N43" i="4"/>
  <c r="M43" i="4"/>
  <c r="G43" i="4"/>
  <c r="G37" i="4" s="1"/>
  <c r="T42" i="4"/>
  <c r="Q42" i="4"/>
  <c r="P42" i="4"/>
  <c r="O42" i="4" s="1"/>
  <c r="J42" i="4"/>
  <c r="AZ42" i="4" s="1"/>
  <c r="G42" i="4"/>
  <c r="Q41" i="4"/>
  <c r="P41" i="4"/>
  <c r="O41" i="4" s="1"/>
  <c r="K41" i="4"/>
  <c r="U41" i="4" s="1"/>
  <c r="T41" i="4" s="1"/>
  <c r="J41" i="4"/>
  <c r="AZ41" i="4" s="1"/>
  <c r="G41" i="4"/>
  <c r="T40" i="4"/>
  <c r="Q40" i="4"/>
  <c r="K40" i="4"/>
  <c r="J40" i="4"/>
  <c r="G40" i="4"/>
  <c r="T39" i="4"/>
  <c r="Q39" i="4"/>
  <c r="P39" i="4"/>
  <c r="O39" i="4" s="1"/>
  <c r="K39" i="4"/>
  <c r="J39" i="4"/>
  <c r="AZ39" i="4" s="1"/>
  <c r="G39" i="4"/>
  <c r="P38" i="4"/>
  <c r="K38" i="4"/>
  <c r="U38" i="4" s="1"/>
  <c r="T38" i="4" s="1"/>
  <c r="T37" i="4" s="1"/>
  <c r="J38" i="4"/>
  <c r="AZ38" i="4" s="1"/>
  <c r="G38" i="4"/>
  <c r="X37" i="4"/>
  <c r="W37" i="4"/>
  <c r="V37" i="4"/>
  <c r="U37" i="4"/>
  <c r="S37" i="4"/>
  <c r="R37" i="4"/>
  <c r="N37" i="4"/>
  <c r="M37" i="4"/>
  <c r="L37" i="4"/>
  <c r="K37" i="4"/>
  <c r="AA37" i="4" s="1"/>
  <c r="I37" i="4"/>
  <c r="H37" i="4"/>
  <c r="T36" i="4"/>
  <c r="K36" i="4"/>
  <c r="Q36" i="4" s="1"/>
  <c r="P36" i="4" s="1"/>
  <c r="O36" i="4" s="1"/>
  <c r="J36" i="4"/>
  <c r="AZ36" i="4" s="1"/>
  <c r="G36" i="4"/>
  <c r="G33" i="4" s="1"/>
  <c r="U35" i="4"/>
  <c r="T35" i="4" s="1"/>
  <c r="T33" i="4" s="1"/>
  <c r="Q35" i="4"/>
  <c r="P35" i="4" s="1"/>
  <c r="O35" i="4" s="1"/>
  <c r="K35" i="4"/>
  <c r="J35" i="4"/>
  <c r="AZ35" i="4" s="1"/>
  <c r="G35" i="4"/>
  <c r="T34" i="4"/>
  <c r="Q34" i="4"/>
  <c r="K34" i="4"/>
  <c r="J34" i="4"/>
  <c r="G34" i="4"/>
  <c r="X33" i="4"/>
  <c r="W33" i="4"/>
  <c r="V33" i="4"/>
  <c r="U33" i="4"/>
  <c r="S33" i="4"/>
  <c r="R33" i="4"/>
  <c r="N33" i="4"/>
  <c r="M33" i="4"/>
  <c r="L33" i="4"/>
  <c r="K33" i="4"/>
  <c r="I33" i="4"/>
  <c r="H33" i="4"/>
  <c r="T32" i="4"/>
  <c r="K32" i="4"/>
  <c r="Q32" i="4" s="1"/>
  <c r="P32" i="4" s="1"/>
  <c r="O32" i="4" s="1"/>
  <c r="J32" i="4"/>
  <c r="AZ32" i="4" s="1"/>
  <c r="G32" i="4"/>
  <c r="T31" i="4"/>
  <c r="K31" i="4"/>
  <c r="Q31" i="4" s="1"/>
  <c r="P31" i="4" s="1"/>
  <c r="O31" i="4" s="1"/>
  <c r="J31" i="4"/>
  <c r="AZ31" i="4" s="1"/>
  <c r="G31" i="4"/>
  <c r="T30" i="4"/>
  <c r="P30" i="4"/>
  <c r="O30" i="4" s="1"/>
  <c r="K30" i="4"/>
  <c r="Q30" i="4" s="1"/>
  <c r="J30" i="4"/>
  <c r="AZ30" i="4" s="1"/>
  <c r="G30" i="4"/>
  <c r="T29" i="4"/>
  <c r="K29" i="4"/>
  <c r="Q29" i="4" s="1"/>
  <c r="J29" i="4"/>
  <c r="AZ29" i="4" s="1"/>
  <c r="G29" i="4"/>
  <c r="G28" i="4" s="1"/>
  <c r="X28" i="4"/>
  <c r="W28" i="4"/>
  <c r="V28" i="4"/>
  <c r="U28" i="4"/>
  <c r="T28" i="4"/>
  <c r="S28" i="4"/>
  <c r="R28" i="4"/>
  <c r="N28" i="4"/>
  <c r="M28" i="4"/>
  <c r="L28" i="4"/>
  <c r="J28" i="4"/>
  <c r="AZ28" i="4" s="1"/>
  <c r="I28" i="4"/>
  <c r="H28" i="4"/>
  <c r="AZ27" i="4"/>
  <c r="T27" i="4"/>
  <c r="Q27" i="4"/>
  <c r="P27" i="4" s="1"/>
  <c r="O27" i="4" s="1"/>
  <c r="K27" i="4"/>
  <c r="J27" i="4"/>
  <c r="G27" i="4"/>
  <c r="AZ26" i="4"/>
  <c r="T26" i="4"/>
  <c r="Q26" i="4"/>
  <c r="P26" i="4" s="1"/>
  <c r="O26" i="4"/>
  <c r="K26" i="4"/>
  <c r="J26" i="4"/>
  <c r="G26" i="4"/>
  <c r="AZ25" i="4"/>
  <c r="T25" i="4"/>
  <c r="Q25" i="4"/>
  <c r="P25" i="4" s="1"/>
  <c r="O25" i="4"/>
  <c r="K25" i="4"/>
  <c r="J25" i="4"/>
  <c r="G25" i="4"/>
  <c r="AZ24" i="4"/>
  <c r="T24" i="4"/>
  <c r="Q24" i="4"/>
  <c r="P24" i="4" s="1"/>
  <c r="O24" i="4"/>
  <c r="K24" i="4"/>
  <c r="J24" i="4"/>
  <c r="G24" i="4"/>
  <c r="AZ23" i="4"/>
  <c r="T23" i="4"/>
  <c r="Q23" i="4"/>
  <c r="P23" i="4" s="1"/>
  <c r="K23" i="4"/>
  <c r="J23" i="4"/>
  <c r="J22" i="4" s="1"/>
  <c r="AZ22" i="4" s="1"/>
  <c r="G23" i="4"/>
  <c r="X22" i="4"/>
  <c r="W22" i="4"/>
  <c r="V22" i="4"/>
  <c r="U22" i="4"/>
  <c r="T22" i="4"/>
  <c r="S22" i="4"/>
  <c r="S10" i="4" s="1"/>
  <c r="R22" i="4"/>
  <c r="Q22" i="4"/>
  <c r="N22" i="4"/>
  <c r="M22" i="4"/>
  <c r="L22" i="4"/>
  <c r="K22" i="4"/>
  <c r="I22" i="4"/>
  <c r="I10" i="4" s="1"/>
  <c r="H22" i="4"/>
  <c r="G22" i="4"/>
  <c r="U21" i="4"/>
  <c r="T21" i="4" s="1"/>
  <c r="Q21" i="4"/>
  <c r="P21" i="4" s="1"/>
  <c r="O21" i="4"/>
  <c r="K21" i="4"/>
  <c r="J21" i="4"/>
  <c r="AZ21" i="4" s="1"/>
  <c r="G21" i="4"/>
  <c r="AZ20" i="4"/>
  <c r="T20" i="4"/>
  <c r="Q20" i="4"/>
  <c r="P20" i="4" s="1"/>
  <c r="O20" i="4"/>
  <c r="K20" i="4"/>
  <c r="J20" i="4"/>
  <c r="G20" i="4"/>
  <c r="AZ19" i="4"/>
  <c r="K19" i="4"/>
  <c r="U19" i="4" s="1"/>
  <c r="J19" i="4"/>
  <c r="G19" i="4"/>
  <c r="G18" i="4" s="1"/>
  <c r="X18" i="4"/>
  <c r="W18" i="4"/>
  <c r="V18" i="4"/>
  <c r="S18" i="4"/>
  <c r="R18" i="4"/>
  <c r="R10" i="4" s="1"/>
  <c r="N18" i="4"/>
  <c r="N10" i="4" s="1"/>
  <c r="M18" i="4"/>
  <c r="L18" i="4"/>
  <c r="J18" i="4"/>
  <c r="AZ18" i="4" s="1"/>
  <c r="I18" i="4"/>
  <c r="H18" i="4"/>
  <c r="V17" i="4"/>
  <c r="T17" i="4"/>
  <c r="L17" i="4"/>
  <c r="K17" i="4" s="1"/>
  <c r="J17" i="4"/>
  <c r="J11" i="4" s="1"/>
  <c r="AZ11" i="4" s="1"/>
  <c r="G17" i="4"/>
  <c r="AZ16" i="4"/>
  <c r="K16" i="4"/>
  <c r="J16" i="4"/>
  <c r="G16" i="4"/>
  <c r="U15" i="4"/>
  <c r="T15" i="4" s="1"/>
  <c r="Q15" i="4"/>
  <c r="P15" i="4" s="1"/>
  <c r="O15" i="4"/>
  <c r="K15" i="4"/>
  <c r="J15" i="4"/>
  <c r="AZ15" i="4" s="1"/>
  <c r="G15" i="4"/>
  <c r="AZ14" i="4"/>
  <c r="K14" i="4"/>
  <c r="U14" i="4" s="1"/>
  <c r="J14" i="4"/>
  <c r="G14" i="4"/>
  <c r="V13" i="4"/>
  <c r="T13" i="4"/>
  <c r="Q13" i="4"/>
  <c r="P13" i="4" s="1"/>
  <c r="O13" i="4" s="1"/>
  <c r="L13" i="4"/>
  <c r="K13" i="4"/>
  <c r="J13" i="4"/>
  <c r="AZ13" i="4" s="1"/>
  <c r="G13" i="4"/>
  <c r="T12" i="4"/>
  <c r="K12" i="4"/>
  <c r="J12" i="4"/>
  <c r="AZ12" i="4" s="1"/>
  <c r="G12" i="4"/>
  <c r="X11" i="4"/>
  <c r="X10" i="4" s="1"/>
  <c r="W11" i="4"/>
  <c r="V11" i="4"/>
  <c r="S11" i="4"/>
  <c r="R11" i="4"/>
  <c r="N11" i="4"/>
  <c r="M11" i="4"/>
  <c r="L11" i="4"/>
  <c r="I11" i="4"/>
  <c r="H11" i="4"/>
  <c r="AB10" i="4"/>
  <c r="AA10" i="4"/>
  <c r="Z10" i="4"/>
  <c r="Y10" i="4"/>
  <c r="V10" i="4"/>
  <c r="AD5" i="4"/>
  <c r="AF4" i="4"/>
  <c r="Z17" i="3"/>
  <c r="W17" i="3" s="1"/>
  <c r="W16" i="3" s="1"/>
  <c r="V17" i="3"/>
  <c r="U17" i="3" s="1"/>
  <c r="U16" i="3" s="1"/>
  <c r="S17" i="3"/>
  <c r="S16" i="3" s="1"/>
  <c r="AB16" i="3"/>
  <c r="AB12" i="3" s="1"/>
  <c r="AA16" i="3"/>
  <c r="AA12" i="3" s="1"/>
  <c r="Y16" i="3"/>
  <c r="X16" i="3"/>
  <c r="V16" i="3"/>
  <c r="T16" i="3"/>
  <c r="R16" i="3"/>
  <c r="Q16" i="3"/>
  <c r="P16" i="3"/>
  <c r="O16" i="3"/>
  <c r="O11" i="3" s="1"/>
  <c r="N16" i="3"/>
  <c r="M16" i="3"/>
  <c r="L16" i="3"/>
  <c r="K16" i="3"/>
  <c r="J16" i="3"/>
  <c r="I16" i="3"/>
  <c r="V15" i="3"/>
  <c r="U15" i="3" s="1"/>
  <c r="S15" i="3"/>
  <c r="W14" i="3"/>
  <c r="T14" i="3"/>
  <c r="P14" i="3"/>
  <c r="P12" i="3" s="1"/>
  <c r="P11" i="3" s="1"/>
  <c r="N14" i="3"/>
  <c r="N12" i="3" s="1"/>
  <c r="N11" i="3" s="1"/>
  <c r="W13" i="3"/>
  <c r="W12" i="3" s="1"/>
  <c r="V13" i="3"/>
  <c r="U13" i="3"/>
  <c r="S13" i="3"/>
  <c r="AC12" i="3"/>
  <c r="Z12" i="3"/>
  <c r="Y12" i="3"/>
  <c r="X12" i="3"/>
  <c r="R12" i="3"/>
  <c r="O12" i="3"/>
  <c r="M12" i="3"/>
  <c r="L12" i="3"/>
  <c r="L11" i="3" s="1"/>
  <c r="K12" i="3"/>
  <c r="J12" i="3"/>
  <c r="I12" i="3"/>
  <c r="I11" i="3" s="1"/>
  <c r="AB11" i="3"/>
  <c r="AA11" i="3"/>
  <c r="M11" i="3"/>
  <c r="AI102" i="2"/>
  <c r="AP102" i="2" s="1"/>
  <c r="AF102" i="2"/>
  <c r="AE102" i="2" s="1"/>
  <c r="P102" i="2"/>
  <c r="O102" i="2"/>
  <c r="AI101" i="2"/>
  <c r="AF101" i="2"/>
  <c r="AE101" i="2" s="1"/>
  <c r="P101" i="2"/>
  <c r="O101" i="2"/>
  <c r="AN100" i="2"/>
  <c r="AI100" i="2"/>
  <c r="AP100" i="2" s="1"/>
  <c r="AF100" i="2"/>
  <c r="AE100" i="2" s="1"/>
  <c r="P100" i="2"/>
  <c r="O100" i="2"/>
  <c r="AI99" i="2"/>
  <c r="AN99" i="2" s="1"/>
  <c r="AF99" i="2"/>
  <c r="AE99" i="2"/>
  <c r="P99" i="2"/>
  <c r="O99" i="2"/>
  <c r="AN98" i="2"/>
  <c r="AI98" i="2"/>
  <c r="AP98" i="2" s="1"/>
  <c r="AF98" i="2"/>
  <c r="P98" i="2"/>
  <c r="O98" i="2"/>
  <c r="AI97" i="2"/>
  <c r="AF97" i="2"/>
  <c r="AE97" i="2" s="1"/>
  <c r="P97" i="2"/>
  <c r="O97" i="2"/>
  <c r="AL96" i="2"/>
  <c r="AK96" i="2"/>
  <c r="AJ96" i="2"/>
  <c r="AH96" i="2"/>
  <c r="AG96" i="2"/>
  <c r="AD96" i="2"/>
  <c r="AC96" i="2"/>
  <c r="AB96" i="2"/>
  <c r="AA96" i="2"/>
  <c r="Z96" i="2"/>
  <c r="Y96" i="2"/>
  <c r="X96" i="2"/>
  <c r="W96" i="2"/>
  <c r="V96" i="2"/>
  <c r="U96" i="2"/>
  <c r="T96" i="2"/>
  <c r="S96" i="2"/>
  <c r="R96" i="2"/>
  <c r="Q96" i="2"/>
  <c r="N96" i="2"/>
  <c r="M96" i="2"/>
  <c r="L96" i="2"/>
  <c r="K96" i="2"/>
  <c r="J96" i="2"/>
  <c r="I96" i="2"/>
  <c r="AI95" i="2"/>
  <c r="AP95" i="2" s="1"/>
  <c r="AF95" i="2"/>
  <c r="AE95" i="2" s="1"/>
  <c r="AL94" i="2"/>
  <c r="AK94" i="2"/>
  <c r="AJ94" i="2"/>
  <c r="AH94" i="2"/>
  <c r="AG94" i="2"/>
  <c r="AF94" i="2"/>
  <c r="AE94" i="2"/>
  <c r="AD94" i="2"/>
  <c r="AC94" i="2"/>
  <c r="AB94" i="2"/>
  <c r="AA94" i="2"/>
  <c r="Z94" i="2"/>
  <c r="Y94" i="2"/>
  <c r="X94" i="2"/>
  <c r="X83" i="2" s="1"/>
  <c r="W94" i="2"/>
  <c r="V94" i="2"/>
  <c r="U94" i="2"/>
  <c r="T94" i="2"/>
  <c r="T83" i="2" s="1"/>
  <c r="S94" i="2"/>
  <c r="R94" i="2"/>
  <c r="Q94" i="2"/>
  <c r="P94" i="2"/>
  <c r="O94" i="2"/>
  <c r="N94" i="2"/>
  <c r="M94" i="2"/>
  <c r="L94" i="2"/>
  <c r="L83" i="2" s="1"/>
  <c r="K94" i="2"/>
  <c r="J94" i="2"/>
  <c r="I94" i="2"/>
  <c r="AI93" i="2"/>
  <c r="AP93" i="2" s="1"/>
  <c r="AF93" i="2"/>
  <c r="AI92" i="2"/>
  <c r="AF92" i="2"/>
  <c r="AE92" i="2"/>
  <c r="AK91" i="2"/>
  <c r="AJ91" i="2"/>
  <c r="AH91" i="2"/>
  <c r="AG91" i="2"/>
  <c r="AG83" i="2" s="1"/>
  <c r="AD91" i="2"/>
  <c r="AC91" i="2"/>
  <c r="AB91" i="2"/>
  <c r="AA91" i="2"/>
  <c r="Z91" i="2"/>
  <c r="Y91" i="2"/>
  <c r="X91" i="2"/>
  <c r="W91" i="2"/>
  <c r="V91" i="2"/>
  <c r="U91" i="2"/>
  <c r="T91" i="2"/>
  <c r="S91" i="2"/>
  <c r="R91" i="2"/>
  <c r="Q91" i="2"/>
  <c r="P91" i="2"/>
  <c r="O91" i="2"/>
  <c r="N91" i="2"/>
  <c r="M91" i="2"/>
  <c r="L91" i="2"/>
  <c r="K91" i="2"/>
  <c r="J91" i="2"/>
  <c r="I91" i="2"/>
  <c r="AI90" i="2"/>
  <c r="AF90" i="2"/>
  <c r="AE90" i="2" s="1"/>
  <c r="AE89" i="2" s="1"/>
  <c r="AK89" i="2"/>
  <c r="AJ89" i="2"/>
  <c r="AH89" i="2"/>
  <c r="AH83" i="2" s="1"/>
  <c r="AG89" i="2"/>
  <c r="AD89" i="2"/>
  <c r="AD83" i="2" s="1"/>
  <c r="AC89" i="2"/>
  <c r="AB89" i="2"/>
  <c r="AA89" i="2"/>
  <c r="Z89" i="2"/>
  <c r="Z83" i="2" s="1"/>
  <c r="Y89" i="2"/>
  <c r="X89" i="2"/>
  <c r="W89" i="2"/>
  <c r="V89" i="2"/>
  <c r="V83" i="2" s="1"/>
  <c r="U89" i="2"/>
  <c r="T89" i="2"/>
  <c r="S89" i="2"/>
  <c r="R89" i="2"/>
  <c r="R83" i="2" s="1"/>
  <c r="Q89" i="2"/>
  <c r="P89" i="2"/>
  <c r="O89" i="2"/>
  <c r="N89" i="2"/>
  <c r="N83" i="2" s="1"/>
  <c r="M89" i="2"/>
  <c r="L89" i="2"/>
  <c r="K89" i="2"/>
  <c r="J89" i="2"/>
  <c r="J83" i="2" s="1"/>
  <c r="I89" i="2"/>
  <c r="AI88" i="2"/>
  <c r="AF88" i="2"/>
  <c r="AE88" i="2"/>
  <c r="AI87" i="2"/>
  <c r="AP87" i="2" s="1"/>
  <c r="AF87" i="2"/>
  <c r="AF86" i="2" s="1"/>
  <c r="AP86" i="2"/>
  <c r="AN86" i="2"/>
  <c r="AJ86" i="2"/>
  <c r="AH86" i="2"/>
  <c r="AG86" i="2"/>
  <c r="AD86" i="2"/>
  <c r="AC86" i="2"/>
  <c r="AB86" i="2"/>
  <c r="AA86" i="2"/>
  <c r="Z86" i="2"/>
  <c r="Y86" i="2"/>
  <c r="X86" i="2"/>
  <c r="W86" i="2"/>
  <c r="V86" i="2"/>
  <c r="U86" i="2"/>
  <c r="T86" i="2"/>
  <c r="S86" i="2"/>
  <c r="R86" i="2"/>
  <c r="Q86" i="2"/>
  <c r="P86" i="2"/>
  <c r="O86" i="2"/>
  <c r="N86" i="2"/>
  <c r="M86" i="2"/>
  <c r="L86" i="2"/>
  <c r="K86" i="2"/>
  <c r="J86" i="2"/>
  <c r="I86" i="2"/>
  <c r="AI85" i="2"/>
  <c r="AP85" i="2" s="1"/>
  <c r="AF85" i="2"/>
  <c r="AK84" i="2"/>
  <c r="AJ84" i="2"/>
  <c r="AJ83" i="2" s="1"/>
  <c r="AH84" i="2"/>
  <c r="AG84" i="2"/>
  <c r="AD84" i="2"/>
  <c r="AC84" i="2"/>
  <c r="AC83" i="2" s="1"/>
  <c r="AB84" i="2"/>
  <c r="AA84" i="2"/>
  <c r="Z84" i="2"/>
  <c r="Y84" i="2"/>
  <c r="Y83" i="2" s="1"/>
  <c r="X84" i="2"/>
  <c r="W84" i="2"/>
  <c r="V84" i="2"/>
  <c r="U84" i="2"/>
  <c r="U83" i="2" s="1"/>
  <c r="T84" i="2"/>
  <c r="S84" i="2"/>
  <c r="R84" i="2"/>
  <c r="Q84" i="2"/>
  <c r="P84" i="2"/>
  <c r="O84" i="2"/>
  <c r="N84" i="2"/>
  <c r="M84" i="2"/>
  <c r="M83" i="2" s="1"/>
  <c r="L84" i="2"/>
  <c r="K84" i="2"/>
  <c r="J84" i="2"/>
  <c r="I84" i="2"/>
  <c r="I83" i="2" s="1"/>
  <c r="AL83" i="2"/>
  <c r="AB83" i="2"/>
  <c r="Q83" i="2"/>
  <c r="AI82" i="2"/>
  <c r="O82" i="2"/>
  <c r="O81" i="2" s="1"/>
  <c r="AM81" i="2"/>
  <c r="AL81" i="2"/>
  <c r="AK81" i="2"/>
  <c r="AJ81" i="2"/>
  <c r="AI81" i="2"/>
  <c r="AH81" i="2"/>
  <c r="AG81" i="2"/>
  <c r="AF81" i="2"/>
  <c r="AE81" i="2"/>
  <c r="AD81" i="2"/>
  <c r="AC81" i="2"/>
  <c r="AB81" i="2"/>
  <c r="AA81" i="2"/>
  <c r="Z81" i="2"/>
  <c r="Y81" i="2"/>
  <c r="X81" i="2"/>
  <c r="W81" i="2"/>
  <c r="V81" i="2"/>
  <c r="U81" i="2"/>
  <c r="T81" i="2"/>
  <c r="S81" i="2"/>
  <c r="R81" i="2"/>
  <c r="Q81" i="2"/>
  <c r="P81" i="2"/>
  <c r="N81" i="2"/>
  <c r="M81" i="2"/>
  <c r="L81" i="2"/>
  <c r="K81" i="2"/>
  <c r="J81" i="2"/>
  <c r="I81" i="2"/>
  <c r="AI80" i="2"/>
  <c r="AF80" i="2"/>
  <c r="AE80" i="2" s="1"/>
  <c r="P80" i="2"/>
  <c r="O80" i="2"/>
  <c r="O77" i="2" s="1"/>
  <c r="AI79" i="2"/>
  <c r="AP79" i="2" s="1"/>
  <c r="AF79" i="2"/>
  <c r="P79" i="2"/>
  <c r="O79" i="2"/>
  <c r="AP78" i="2"/>
  <c r="AN78" i="2"/>
  <c r="AF78" i="2"/>
  <c r="AE78" i="2"/>
  <c r="P78" i="2"/>
  <c r="P77" i="2" s="1"/>
  <c r="O78" i="2"/>
  <c r="AL77" i="2"/>
  <c r="AK77" i="2"/>
  <c r="AJ77" i="2"/>
  <c r="AH77" i="2"/>
  <c r="AG77" i="2"/>
  <c r="AD77" i="2"/>
  <c r="AC77" i="2"/>
  <c r="AB77" i="2"/>
  <c r="AA77" i="2"/>
  <c r="Z77" i="2"/>
  <c r="Y77" i="2"/>
  <c r="X77" i="2"/>
  <c r="W77" i="2"/>
  <c r="V77" i="2"/>
  <c r="U77" i="2"/>
  <c r="T77" i="2"/>
  <c r="S77" i="2"/>
  <c r="R77" i="2"/>
  <c r="Q77" i="2"/>
  <c r="N77" i="2"/>
  <c r="M77" i="2"/>
  <c r="L77" i="2"/>
  <c r="K77" i="2"/>
  <c r="J77" i="2"/>
  <c r="I77" i="2"/>
  <c r="AI76" i="2"/>
  <c r="AF76" i="2"/>
  <c r="AE76" i="2" s="1"/>
  <c r="AN75" i="2"/>
  <c r="AI75" i="2"/>
  <c r="AP75" i="2" s="1"/>
  <c r="AF75" i="2"/>
  <c r="AE75" i="2" s="1"/>
  <c r="AP74" i="2"/>
  <c r="AI74" i="2"/>
  <c r="AN74" i="2" s="1"/>
  <c r="AF74" i="2"/>
  <c r="AE74" i="2" s="1"/>
  <c r="AI73" i="2"/>
  <c r="AP73" i="2" s="1"/>
  <c r="AF73" i="2"/>
  <c r="AI72" i="2"/>
  <c r="AF72" i="2"/>
  <c r="AE72" i="2"/>
  <c r="AK71" i="2"/>
  <c r="AJ71" i="2"/>
  <c r="AH71" i="2"/>
  <c r="AG71" i="2"/>
  <c r="AD71" i="2"/>
  <c r="AC71" i="2"/>
  <c r="AB71" i="2"/>
  <c r="AA71" i="2"/>
  <c r="Z71" i="2"/>
  <c r="Y71" i="2"/>
  <c r="X71" i="2"/>
  <c r="W71" i="2"/>
  <c r="V71" i="2"/>
  <c r="U71" i="2"/>
  <c r="T71" i="2"/>
  <c r="S71" i="2"/>
  <c r="R71" i="2"/>
  <c r="Q71" i="2"/>
  <c r="P71" i="2"/>
  <c r="O71" i="2"/>
  <c r="N71" i="2"/>
  <c r="M71" i="2"/>
  <c r="L71" i="2"/>
  <c r="K71" i="2"/>
  <c r="J71" i="2"/>
  <c r="I71" i="2"/>
  <c r="AI70" i="2"/>
  <c r="AF70" i="2"/>
  <c r="AE70" i="2" s="1"/>
  <c r="AI69" i="2"/>
  <c r="AP69" i="2" s="1"/>
  <c r="AF69" i="2"/>
  <c r="AE69" i="2" s="1"/>
  <c r="AI68" i="2"/>
  <c r="AN68" i="2" s="1"/>
  <c r="AF68" i="2"/>
  <c r="AE68" i="2" s="1"/>
  <c r="AI67" i="2"/>
  <c r="AP67" i="2" s="1"/>
  <c r="AF67" i="2"/>
  <c r="AK66" i="2"/>
  <c r="AJ66" i="2"/>
  <c r="AH66" i="2"/>
  <c r="AG66" i="2"/>
  <c r="AD66" i="2"/>
  <c r="AC66" i="2"/>
  <c r="AB66" i="2"/>
  <c r="AA66" i="2"/>
  <c r="Z66" i="2"/>
  <c r="Y66" i="2"/>
  <c r="X66" i="2"/>
  <c r="W66" i="2"/>
  <c r="V66" i="2"/>
  <c r="U66" i="2"/>
  <c r="T66" i="2"/>
  <c r="S66" i="2"/>
  <c r="R66" i="2"/>
  <c r="Q66" i="2"/>
  <c r="P66" i="2"/>
  <c r="O66" i="2"/>
  <c r="N66" i="2"/>
  <c r="M66" i="2"/>
  <c r="L66" i="2"/>
  <c r="K66" i="2"/>
  <c r="J66" i="2"/>
  <c r="I66" i="2"/>
  <c r="AI65" i="2"/>
  <c r="AP65" i="2" s="1"/>
  <c r="AF65" i="2"/>
  <c r="AE65" i="2" s="1"/>
  <c r="AI64" i="2"/>
  <c r="AF64" i="2"/>
  <c r="AE64" i="2" s="1"/>
  <c r="AP63" i="2"/>
  <c r="AI63" i="2"/>
  <c r="AN63" i="2" s="1"/>
  <c r="AF63" i="2"/>
  <c r="AE63" i="2"/>
  <c r="AI62" i="2"/>
  <c r="AN62" i="2" s="1"/>
  <c r="AF62" i="2"/>
  <c r="AE62" i="2"/>
  <c r="AP61" i="2"/>
  <c r="AN61" i="2"/>
  <c r="AF61" i="2"/>
  <c r="AE61" i="2"/>
  <c r="AI60" i="2"/>
  <c r="AP60" i="2" s="1"/>
  <c r="AF60" i="2"/>
  <c r="AI59" i="2"/>
  <c r="AF59" i="2"/>
  <c r="AE59" i="2" s="1"/>
  <c r="AK58" i="2"/>
  <c r="AJ58" i="2"/>
  <c r="AH58" i="2"/>
  <c r="AG58" i="2"/>
  <c r="AD58" i="2"/>
  <c r="AC58" i="2"/>
  <c r="AB58" i="2"/>
  <c r="AA58" i="2"/>
  <c r="Z58" i="2"/>
  <c r="Y58" i="2"/>
  <c r="X58" i="2"/>
  <c r="W58" i="2"/>
  <c r="V58" i="2"/>
  <c r="U58" i="2"/>
  <c r="T58" i="2"/>
  <c r="S58" i="2"/>
  <c r="R58" i="2"/>
  <c r="Q58" i="2"/>
  <c r="P58" i="2"/>
  <c r="O58" i="2"/>
  <c r="N58" i="2"/>
  <c r="M58" i="2"/>
  <c r="L58" i="2"/>
  <c r="K58" i="2"/>
  <c r="J58" i="2"/>
  <c r="I58" i="2"/>
  <c r="AI57" i="2"/>
  <c r="AF57" i="2"/>
  <c r="AE57" i="2" s="1"/>
  <c r="AI56" i="2"/>
  <c r="AP56" i="2" s="1"/>
  <c r="AF56" i="2"/>
  <c r="AE56" i="2"/>
  <c r="AI55" i="2"/>
  <c r="AN55" i="2" s="1"/>
  <c r="AF55" i="2"/>
  <c r="AE55" i="2"/>
  <c r="AP54" i="2"/>
  <c r="AN54" i="2"/>
  <c r="AF54" i="2"/>
  <c r="AE54" i="2"/>
  <c r="AP53" i="2"/>
  <c r="AN53" i="2"/>
  <c r="AF53" i="2"/>
  <c r="AE53" i="2"/>
  <c r="AI52" i="2"/>
  <c r="AP52" i="2" s="1"/>
  <c r="AF52" i="2"/>
  <c r="AK51" i="2"/>
  <c r="AF51" i="2"/>
  <c r="AE51" i="2" s="1"/>
  <c r="AJ50" i="2"/>
  <c r="AH50" i="2"/>
  <c r="AG50" i="2"/>
  <c r="AD50" i="2"/>
  <c r="AC50" i="2"/>
  <c r="AB50" i="2"/>
  <c r="AA50" i="2"/>
  <c r="Z50" i="2"/>
  <c r="Y50" i="2"/>
  <c r="X50" i="2"/>
  <c r="W50" i="2"/>
  <c r="V50" i="2"/>
  <c r="U50" i="2"/>
  <c r="T50" i="2"/>
  <c r="S50" i="2"/>
  <c r="R50" i="2"/>
  <c r="Q50" i="2"/>
  <c r="P50" i="2"/>
  <c r="O50" i="2"/>
  <c r="N50" i="2"/>
  <c r="M50" i="2"/>
  <c r="L50" i="2"/>
  <c r="K50" i="2"/>
  <c r="J50" i="2"/>
  <c r="I50" i="2"/>
  <c r="AI49" i="2"/>
  <c r="AF49" i="2"/>
  <c r="AE49" i="2" s="1"/>
  <c r="AE48" i="2" s="1"/>
  <c r="AK48" i="2"/>
  <c r="AJ48" i="2"/>
  <c r="AH48" i="2"/>
  <c r="AG48" i="2"/>
  <c r="AF48" i="2"/>
  <c r="AD48" i="2"/>
  <c r="AC48" i="2"/>
  <c r="AB48" i="2"/>
  <c r="AA48" i="2"/>
  <c r="Z48" i="2"/>
  <c r="Y48" i="2"/>
  <c r="X48" i="2"/>
  <c r="W48" i="2"/>
  <c r="V48" i="2"/>
  <c r="U48" i="2"/>
  <c r="T48" i="2"/>
  <c r="S48" i="2"/>
  <c r="R48" i="2"/>
  <c r="Q48" i="2"/>
  <c r="P48" i="2"/>
  <c r="O48" i="2"/>
  <c r="N48" i="2"/>
  <c r="M48" i="2"/>
  <c r="L48" i="2"/>
  <c r="K48" i="2"/>
  <c r="J48" i="2"/>
  <c r="I48" i="2"/>
  <c r="AP47" i="2"/>
  <c r="AN47" i="2"/>
  <c r="AF47" i="2"/>
  <c r="AK46" i="2"/>
  <c r="AN46" i="2" s="1"/>
  <c r="AJ46" i="2"/>
  <c r="AI46" i="2"/>
  <c r="AH46" i="2"/>
  <c r="AG46" i="2"/>
  <c r="AD46" i="2"/>
  <c r="AC46" i="2"/>
  <c r="AB46" i="2"/>
  <c r="AA46" i="2"/>
  <c r="Z46" i="2"/>
  <c r="Y46" i="2"/>
  <c r="X46" i="2"/>
  <c r="W46" i="2"/>
  <c r="V46" i="2"/>
  <c r="U46" i="2"/>
  <c r="T46" i="2"/>
  <c r="S46" i="2"/>
  <c r="R46" i="2"/>
  <c r="Q46" i="2"/>
  <c r="P46" i="2"/>
  <c r="O46" i="2"/>
  <c r="N46" i="2"/>
  <c r="M46" i="2"/>
  <c r="L46" i="2"/>
  <c r="K46" i="2"/>
  <c r="J46" i="2"/>
  <c r="I46" i="2"/>
  <c r="AI45" i="2"/>
  <c r="AF45" i="2"/>
  <c r="AE45" i="2" s="1"/>
  <c r="AI44" i="2"/>
  <c r="AF44" i="2"/>
  <c r="AE44" i="2" s="1"/>
  <c r="AN43" i="2"/>
  <c r="AI43" i="2"/>
  <c r="AP43" i="2" s="1"/>
  <c r="AF43" i="2"/>
  <c r="AE43" i="2" s="1"/>
  <c r="AP42" i="2"/>
  <c r="AI42" i="2"/>
  <c r="AN42" i="2" s="1"/>
  <c r="AF42" i="2"/>
  <c r="AK41" i="2"/>
  <c r="AJ41" i="2"/>
  <c r="AH41" i="2"/>
  <c r="AG41" i="2"/>
  <c r="AD41" i="2"/>
  <c r="AC41" i="2"/>
  <c r="AB41" i="2"/>
  <c r="AA41" i="2"/>
  <c r="Z41" i="2"/>
  <c r="Y41" i="2"/>
  <c r="X41" i="2"/>
  <c r="W41" i="2"/>
  <c r="V41" i="2"/>
  <c r="U41" i="2"/>
  <c r="T41" i="2"/>
  <c r="S41" i="2"/>
  <c r="R41" i="2"/>
  <c r="Q41" i="2"/>
  <c r="P41" i="2"/>
  <c r="O41" i="2"/>
  <c r="N41" i="2"/>
  <c r="M41" i="2"/>
  <c r="L41" i="2"/>
  <c r="K41" i="2"/>
  <c r="J41" i="2"/>
  <c r="I41" i="2"/>
  <c r="AN40" i="2"/>
  <c r="AI40" i="2"/>
  <c r="AP40" i="2" s="1"/>
  <c r="AF40" i="2"/>
  <c r="AE40" i="2" s="1"/>
  <c r="AI39" i="2"/>
  <c r="AF39" i="2"/>
  <c r="AE39" i="2" s="1"/>
  <c r="AP38" i="2"/>
  <c r="AN38" i="2"/>
  <c r="AF38" i="2"/>
  <c r="AK37" i="2"/>
  <c r="AJ37" i="2"/>
  <c r="AH37" i="2"/>
  <c r="AG37" i="2"/>
  <c r="AD37" i="2"/>
  <c r="AC37" i="2"/>
  <c r="AB37" i="2"/>
  <c r="AA37" i="2"/>
  <c r="Z37" i="2"/>
  <c r="Y37" i="2"/>
  <c r="X37" i="2"/>
  <c r="W37" i="2"/>
  <c r="V37" i="2"/>
  <c r="U37" i="2"/>
  <c r="T37" i="2"/>
  <c r="S37" i="2"/>
  <c r="R37" i="2"/>
  <c r="Q37" i="2"/>
  <c r="P37" i="2"/>
  <c r="O37" i="2"/>
  <c r="N37" i="2"/>
  <c r="M37" i="2"/>
  <c r="L37" i="2"/>
  <c r="K37" i="2"/>
  <c r="J37" i="2"/>
  <c r="I37" i="2"/>
  <c r="AI36" i="2"/>
  <c r="AF36" i="2"/>
  <c r="AE36" i="2" s="1"/>
  <c r="AN35" i="2"/>
  <c r="AI35" i="2"/>
  <c r="AP35" i="2" s="1"/>
  <c r="AF35" i="2"/>
  <c r="AE35" i="2" s="1"/>
  <c r="AP34" i="2"/>
  <c r="AN34" i="2"/>
  <c r="AI34" i="2"/>
  <c r="AF34" i="2"/>
  <c r="AE34" i="2" s="1"/>
  <c r="AE33" i="2" s="1"/>
  <c r="AK33" i="2"/>
  <c r="AJ33" i="2"/>
  <c r="AH33" i="2"/>
  <c r="AG33" i="2"/>
  <c r="AD33" i="2"/>
  <c r="AC33" i="2"/>
  <c r="AB33" i="2"/>
  <c r="AA33" i="2"/>
  <c r="Z33" i="2"/>
  <c r="Y33" i="2"/>
  <c r="X33" i="2"/>
  <c r="W33" i="2"/>
  <c r="V33" i="2"/>
  <c r="U33" i="2"/>
  <c r="T33" i="2"/>
  <c r="S33" i="2"/>
  <c r="R33" i="2"/>
  <c r="Q33" i="2"/>
  <c r="Q12" i="2" s="1"/>
  <c r="Q11" i="2" s="1"/>
  <c r="P33" i="2"/>
  <c r="O33" i="2"/>
  <c r="N33" i="2"/>
  <c r="M33" i="2"/>
  <c r="L33" i="2"/>
  <c r="K33" i="2"/>
  <c r="J33" i="2"/>
  <c r="I33" i="2"/>
  <c r="AN32" i="2"/>
  <c r="AI32" i="2"/>
  <c r="AP32" i="2" s="1"/>
  <c r="AF32" i="2"/>
  <c r="AE32" i="2" s="1"/>
  <c r="AI31" i="2"/>
  <c r="AP31" i="2" s="1"/>
  <c r="AF31" i="2"/>
  <c r="AE31" i="2"/>
  <c r="AI30" i="2"/>
  <c r="AF30" i="2"/>
  <c r="AE30" i="2" s="1"/>
  <c r="AI29" i="2"/>
  <c r="AP29" i="2" s="1"/>
  <c r="AF29" i="2"/>
  <c r="AE29" i="2" s="1"/>
  <c r="AN28" i="2"/>
  <c r="AI28" i="2"/>
  <c r="AP28" i="2" s="1"/>
  <c r="AF28" i="2"/>
  <c r="AE28" i="2" s="1"/>
  <c r="AK27" i="2"/>
  <c r="AJ27" i="2"/>
  <c r="AH27" i="2"/>
  <c r="AG27" i="2"/>
  <c r="AF27" i="2"/>
  <c r="AD27" i="2"/>
  <c r="AC27" i="2"/>
  <c r="AB27" i="2"/>
  <c r="AA27" i="2"/>
  <c r="Z27" i="2"/>
  <c r="Y27" i="2"/>
  <c r="X27" i="2"/>
  <c r="W27" i="2"/>
  <c r="V27" i="2"/>
  <c r="U27" i="2"/>
  <c r="T27" i="2"/>
  <c r="S27" i="2"/>
  <c r="R27" i="2"/>
  <c r="Q27" i="2"/>
  <c r="P27" i="2"/>
  <c r="O27" i="2"/>
  <c r="N27" i="2"/>
  <c r="M27" i="2"/>
  <c r="L27" i="2"/>
  <c r="K27" i="2"/>
  <c r="J27" i="2"/>
  <c r="I27" i="2"/>
  <c r="AP26" i="2"/>
  <c r="AN26" i="2"/>
  <c r="AI26" i="2"/>
  <c r="AF26" i="2"/>
  <c r="AE26" i="2"/>
  <c r="AP25" i="2"/>
  <c r="AI25" i="2"/>
  <c r="AN25" i="2" s="1"/>
  <c r="AF25" i="2"/>
  <c r="AI24" i="2"/>
  <c r="AF24" i="2"/>
  <c r="AE24" i="2" s="1"/>
  <c r="AI23" i="2"/>
  <c r="AP23" i="2" s="1"/>
  <c r="AF23" i="2"/>
  <c r="AE23" i="2" s="1"/>
  <c r="AK22" i="2"/>
  <c r="AJ22" i="2"/>
  <c r="AH22" i="2"/>
  <c r="AG22" i="2"/>
  <c r="AD22" i="2"/>
  <c r="AC22" i="2"/>
  <c r="AB22" i="2"/>
  <c r="AA22" i="2"/>
  <c r="Z22" i="2"/>
  <c r="Y22" i="2"/>
  <c r="X22" i="2"/>
  <c r="W22" i="2"/>
  <c r="V22" i="2"/>
  <c r="U22" i="2"/>
  <c r="T22" i="2"/>
  <c r="S22" i="2"/>
  <c r="R22" i="2"/>
  <c r="Q22" i="2"/>
  <c r="P22" i="2"/>
  <c r="O22" i="2"/>
  <c r="N22" i="2"/>
  <c r="M22" i="2"/>
  <c r="L22" i="2"/>
  <c r="K22" i="2"/>
  <c r="J22" i="2"/>
  <c r="I22" i="2"/>
  <c r="AI21" i="2"/>
  <c r="AP21" i="2" s="1"/>
  <c r="AF21" i="2"/>
  <c r="AE21" i="2" s="1"/>
  <c r="AI20" i="2"/>
  <c r="AP20" i="2" s="1"/>
  <c r="AF20" i="2"/>
  <c r="AE20" i="2" s="1"/>
  <c r="AI19" i="2"/>
  <c r="AN19" i="2" s="1"/>
  <c r="AF19" i="2"/>
  <c r="AE19" i="2" s="1"/>
  <c r="AI18" i="2"/>
  <c r="AF18" i="2"/>
  <c r="AE18" i="2" s="1"/>
  <c r="AL17" i="2"/>
  <c r="AK17" i="2"/>
  <c r="AJ17" i="2"/>
  <c r="AH17" i="2"/>
  <c r="AG17" i="2"/>
  <c r="AD17" i="2"/>
  <c r="AC17" i="2"/>
  <c r="AB17" i="2"/>
  <c r="AA17" i="2"/>
  <c r="Z17" i="2"/>
  <c r="Y17" i="2"/>
  <c r="X17" i="2"/>
  <c r="W17" i="2"/>
  <c r="V17" i="2"/>
  <c r="U17" i="2"/>
  <c r="T17" i="2"/>
  <c r="S17" i="2"/>
  <c r="R17" i="2"/>
  <c r="Q17" i="2"/>
  <c r="P17" i="2"/>
  <c r="O17" i="2"/>
  <c r="N17" i="2"/>
  <c r="M17" i="2"/>
  <c r="L17" i="2"/>
  <c r="K17" i="2"/>
  <c r="J17" i="2"/>
  <c r="I17" i="2"/>
  <c r="AP16" i="2"/>
  <c r="AN16" i="2"/>
  <c r="AF16" i="2"/>
  <c r="AE16" i="2" s="1"/>
  <c r="AI15" i="2"/>
  <c r="AI13" i="2" s="1"/>
  <c r="AF15" i="2"/>
  <c r="AE15" i="2" s="1"/>
  <c r="AN14" i="2"/>
  <c r="AI14" i="2"/>
  <c r="AP14" i="2" s="1"/>
  <c r="AF14" i="2"/>
  <c r="AE14" i="2" s="1"/>
  <c r="AE13" i="2" s="1"/>
  <c r="AL13" i="2"/>
  <c r="AK13" i="2"/>
  <c r="AJ13" i="2"/>
  <c r="AH13" i="2"/>
  <c r="AG13" i="2"/>
  <c r="AF13" i="2"/>
  <c r="AD13" i="2"/>
  <c r="AC13" i="2"/>
  <c r="AB13" i="2"/>
  <c r="AA13" i="2"/>
  <c r="Z13" i="2"/>
  <c r="Y13" i="2"/>
  <c r="X13" i="2"/>
  <c r="W13" i="2"/>
  <c r="V13" i="2"/>
  <c r="U13" i="2"/>
  <c r="T13" i="2"/>
  <c r="S13" i="2"/>
  <c r="R13" i="2"/>
  <c r="Q13" i="2"/>
  <c r="P13" i="2"/>
  <c r="O13" i="2"/>
  <c r="N13" i="2"/>
  <c r="M13" i="2"/>
  <c r="L13" i="2"/>
  <c r="K13" i="2"/>
  <c r="J13" i="2"/>
  <c r="I13" i="2"/>
  <c r="AG12" i="2"/>
  <c r="AI156" i="1"/>
  <c r="AA156" i="1"/>
  <c r="AO156" i="1" s="1"/>
  <c r="T156" i="1"/>
  <c r="S156" i="1"/>
  <c r="Q156" i="1"/>
  <c r="O156" i="1"/>
  <c r="M156" i="1"/>
  <c r="K156" i="1"/>
  <c r="AO155" i="1"/>
  <c r="AI155" i="1"/>
  <c r="AF155" i="1"/>
  <c r="AE155" i="1"/>
  <c r="Q155" i="1"/>
  <c r="P155" i="1"/>
  <c r="O155" i="1" s="1"/>
  <c r="K155" i="1"/>
  <c r="AO154" i="1"/>
  <c r="AI154" i="1"/>
  <c r="AF154" i="1"/>
  <c r="AE154" i="1"/>
  <c r="Q154" i="1"/>
  <c r="P154" i="1"/>
  <c r="O154" i="1" s="1"/>
  <c r="O153" i="1" s="1"/>
  <c r="K154" i="1"/>
  <c r="AO153" i="1"/>
  <c r="AM153" i="1"/>
  <c r="AL153" i="1"/>
  <c r="AK153" i="1"/>
  <c r="AJ153" i="1"/>
  <c r="AJ94" i="1" s="1"/>
  <c r="AI153" i="1"/>
  <c r="AH153" i="1"/>
  <c r="AG153" i="1"/>
  <c r="AD153" i="1"/>
  <c r="AC153" i="1"/>
  <c r="AB153" i="1"/>
  <c r="AB94" i="1" s="1"/>
  <c r="AA153" i="1"/>
  <c r="Z153" i="1"/>
  <c r="Y153" i="1"/>
  <c r="X153" i="1"/>
  <c r="X94" i="1" s="1"/>
  <c r="W153" i="1"/>
  <c r="V153" i="1"/>
  <c r="U153" i="1"/>
  <c r="T153" i="1"/>
  <c r="S153" i="1"/>
  <c r="R153" i="1"/>
  <c r="P153" i="1"/>
  <c r="N153" i="1"/>
  <c r="M153" i="1"/>
  <c r="L153" i="1"/>
  <c r="K153" i="1"/>
  <c r="J153" i="1"/>
  <c r="I153" i="1"/>
  <c r="AO152" i="1"/>
  <c r="AI152" i="1"/>
  <c r="AA152" i="1"/>
  <c r="AF152" i="1" s="1"/>
  <c r="T152" i="1"/>
  <c r="T151" i="1" s="1"/>
  <c r="S152" i="1"/>
  <c r="Q152" i="1"/>
  <c r="Q151" i="1" s="1"/>
  <c r="O152" i="1"/>
  <c r="M152" i="1"/>
  <c r="M151" i="1" s="1"/>
  <c r="K152" i="1"/>
  <c r="AM151" i="1"/>
  <c r="AL151" i="1"/>
  <c r="AK151" i="1"/>
  <c r="AJ151" i="1"/>
  <c r="AI151" i="1"/>
  <c r="AH151" i="1"/>
  <c r="AG151" i="1"/>
  <c r="AD151" i="1"/>
  <c r="AC151" i="1"/>
  <c r="AB151" i="1"/>
  <c r="AA151" i="1"/>
  <c r="Z151" i="1"/>
  <c r="Y151" i="1"/>
  <c r="X151" i="1"/>
  <c r="W151" i="1"/>
  <c r="V151" i="1"/>
  <c r="AO151" i="1" s="1"/>
  <c r="U151" i="1"/>
  <c r="S151" i="1"/>
  <c r="R151" i="1"/>
  <c r="P151" i="1"/>
  <c r="O151" i="1"/>
  <c r="N151" i="1"/>
  <c r="L151" i="1"/>
  <c r="K151" i="1"/>
  <c r="J151" i="1"/>
  <c r="I151" i="1"/>
  <c r="AO150" i="1"/>
  <c r="AI150" i="1"/>
  <c r="AI147" i="1" s="1"/>
  <c r="AF150" i="1"/>
  <c r="AE150" i="1" s="1"/>
  <c r="Q150" i="1"/>
  <c r="O150" i="1"/>
  <c r="M150" i="1"/>
  <c r="K150" i="1"/>
  <c r="AO149" i="1"/>
  <c r="AI149" i="1"/>
  <c r="AF149" i="1"/>
  <c r="AE149" i="1" s="1"/>
  <c r="AE147" i="1" s="1"/>
  <c r="Q149" i="1"/>
  <c r="O149" i="1"/>
  <c r="M149" i="1"/>
  <c r="K149" i="1"/>
  <c r="AO148" i="1"/>
  <c r="AI148" i="1"/>
  <c r="AF148" i="1"/>
  <c r="AE148" i="1" s="1"/>
  <c r="Q148" i="1"/>
  <c r="Q147" i="1" s="1"/>
  <c r="O148" i="1"/>
  <c r="M148" i="1"/>
  <c r="M147" i="1" s="1"/>
  <c r="K148" i="1"/>
  <c r="AM147" i="1"/>
  <c r="AL147" i="1"/>
  <c r="AK147" i="1"/>
  <c r="AJ147" i="1"/>
  <c r="AH147" i="1"/>
  <c r="AG147" i="1"/>
  <c r="AD147" i="1"/>
  <c r="AC147" i="1"/>
  <c r="AB147" i="1"/>
  <c r="AA147" i="1"/>
  <c r="Z147" i="1"/>
  <c r="Y147" i="1"/>
  <c r="X147" i="1"/>
  <c r="W147" i="1"/>
  <c r="V147" i="1"/>
  <c r="AO147" i="1" s="1"/>
  <c r="U147" i="1"/>
  <c r="T147" i="1"/>
  <c r="S147" i="1"/>
  <c r="R147" i="1"/>
  <c r="P147" i="1"/>
  <c r="O147" i="1"/>
  <c r="N147" i="1"/>
  <c r="L147" i="1"/>
  <c r="K147" i="1"/>
  <c r="J147" i="1"/>
  <c r="I147" i="1"/>
  <c r="AI146" i="1"/>
  <c r="AF146" i="1"/>
  <c r="AE146" i="1" s="1"/>
  <c r="AA146" i="1"/>
  <c r="AO146" i="1" s="1"/>
  <c r="T146" i="1"/>
  <c r="T143" i="1" s="1"/>
  <c r="S146" i="1"/>
  <c r="S143" i="1" s="1"/>
  <c r="Q146" i="1"/>
  <c r="O146" i="1"/>
  <c r="O143" i="1" s="1"/>
  <c r="K146" i="1"/>
  <c r="AO145" i="1"/>
  <c r="AI145" i="1"/>
  <c r="AF145" i="1"/>
  <c r="AE145" i="1"/>
  <c r="Q145" i="1"/>
  <c r="O145" i="1"/>
  <c r="K145" i="1"/>
  <c r="AO144" i="1"/>
  <c r="AI144" i="1"/>
  <c r="AI143" i="1" s="1"/>
  <c r="AA144" i="1"/>
  <c r="T144" i="1"/>
  <c r="S144" i="1"/>
  <c r="Q144" i="1"/>
  <c r="K144" i="1"/>
  <c r="AM143" i="1"/>
  <c r="AL143" i="1"/>
  <c r="AK143" i="1"/>
  <c r="AJ143" i="1"/>
  <c r="AH143" i="1"/>
  <c r="AG143" i="1"/>
  <c r="AD143" i="1"/>
  <c r="AC143" i="1"/>
  <c r="AB143" i="1"/>
  <c r="Z143" i="1"/>
  <c r="Y143" i="1"/>
  <c r="X143" i="1"/>
  <c r="W143" i="1"/>
  <c r="V143" i="1"/>
  <c r="U143" i="1"/>
  <c r="R143" i="1"/>
  <c r="Q143" i="1"/>
  <c r="P143" i="1"/>
  <c r="N143" i="1"/>
  <c r="M143" i="1"/>
  <c r="L143" i="1"/>
  <c r="J143" i="1"/>
  <c r="I143" i="1"/>
  <c r="AI142" i="1"/>
  <c r="AA142" i="1"/>
  <c r="AO142" i="1" s="1"/>
  <c r="T142" i="1"/>
  <c r="S142" i="1"/>
  <c r="Q142" i="1"/>
  <c r="Q141" i="1" s="1"/>
  <c r="O142" i="1"/>
  <c r="K142" i="1"/>
  <c r="AM141" i="1"/>
  <c r="AL141" i="1"/>
  <c r="AK141" i="1"/>
  <c r="AJ141" i="1"/>
  <c r="AI141" i="1"/>
  <c r="AH141" i="1"/>
  <c r="AG141" i="1"/>
  <c r="AD141" i="1"/>
  <c r="AC141" i="1"/>
  <c r="AB141" i="1"/>
  <c r="AA141" i="1"/>
  <c r="Z141" i="1"/>
  <c r="Y141" i="1"/>
  <c r="X141" i="1"/>
  <c r="W141" i="1"/>
  <c r="V141" i="1"/>
  <c r="U141" i="1"/>
  <c r="T141" i="1"/>
  <c r="S141" i="1"/>
  <c r="R141" i="1"/>
  <c r="P141" i="1"/>
  <c r="O141" i="1"/>
  <c r="N141" i="1"/>
  <c r="M141" i="1"/>
  <c r="L141" i="1"/>
  <c r="K141" i="1"/>
  <c r="J141" i="1"/>
  <c r="I141" i="1"/>
  <c r="AO140" i="1"/>
  <c r="AI140" i="1"/>
  <c r="AF140" i="1"/>
  <c r="AE140" i="1" s="1"/>
  <c r="AE139" i="1" s="1"/>
  <c r="Q140" i="1"/>
  <c r="Q139" i="1" s="1"/>
  <c r="P140" i="1"/>
  <c r="K140" i="1"/>
  <c r="AM139" i="1"/>
  <c r="AL139" i="1"/>
  <c r="AK139" i="1"/>
  <c r="AJ139" i="1"/>
  <c r="AI139" i="1"/>
  <c r="AH139" i="1"/>
  <c r="AG139" i="1"/>
  <c r="AD139" i="1"/>
  <c r="AC139" i="1"/>
  <c r="AB139" i="1"/>
  <c r="AA139" i="1"/>
  <c r="Z139" i="1"/>
  <c r="Y139" i="1"/>
  <c r="X139" i="1"/>
  <c r="W139" i="1"/>
  <c r="V139" i="1"/>
  <c r="AO139" i="1" s="1"/>
  <c r="U139" i="1"/>
  <c r="T139" i="1"/>
  <c r="S139" i="1"/>
  <c r="R139" i="1"/>
  <c r="N139" i="1"/>
  <c r="M139" i="1"/>
  <c r="L139" i="1"/>
  <c r="K139" i="1"/>
  <c r="J139" i="1"/>
  <c r="I139" i="1"/>
  <c r="AI138" i="1"/>
  <c r="AF138" i="1"/>
  <c r="AE138" i="1" s="1"/>
  <c r="AA138" i="1"/>
  <c r="AO138" i="1" s="1"/>
  <c r="T138" i="1"/>
  <c r="S138" i="1"/>
  <c r="Q138" i="1"/>
  <c r="O138" i="1"/>
  <c r="M138" i="1"/>
  <c r="M134" i="1" s="1"/>
  <c r="L138" i="1"/>
  <c r="K138" i="1" s="1"/>
  <c r="AI137" i="1"/>
  <c r="AF137" i="1"/>
  <c r="AE137" i="1" s="1"/>
  <c r="AA137" i="1"/>
  <c r="AA134" i="1" s="1"/>
  <c r="AO134" i="1" s="1"/>
  <c r="T137" i="1"/>
  <c r="T134" i="1" s="1"/>
  <c r="S137" i="1"/>
  <c r="S134" i="1" s="1"/>
  <c r="Q137" i="1"/>
  <c r="O137" i="1"/>
  <c r="L137" i="1"/>
  <c r="AO136" i="1"/>
  <c r="AI136" i="1"/>
  <c r="AF136" i="1"/>
  <c r="AE136" i="1" s="1"/>
  <c r="Q136" i="1"/>
  <c r="P136" i="1"/>
  <c r="O136" i="1"/>
  <c r="K136" i="1"/>
  <c r="AO135" i="1"/>
  <c r="AI135" i="1"/>
  <c r="AF135" i="1"/>
  <c r="Q135" i="1"/>
  <c r="O135" i="1"/>
  <c r="O134" i="1" s="1"/>
  <c r="K135" i="1"/>
  <c r="AM134" i="1"/>
  <c r="AL134" i="1"/>
  <c r="AK134" i="1"/>
  <c r="AJ134" i="1"/>
  <c r="AH134" i="1"/>
  <c r="AG134" i="1"/>
  <c r="AD134" i="1"/>
  <c r="AC134" i="1"/>
  <c r="AB134" i="1"/>
  <c r="Z134" i="1"/>
  <c r="Y134" i="1"/>
  <c r="X134" i="1"/>
  <c r="W134" i="1"/>
  <c r="V134" i="1"/>
  <c r="U134" i="1"/>
  <c r="R134" i="1"/>
  <c r="Q134" i="1"/>
  <c r="P134" i="1"/>
  <c r="N134" i="1"/>
  <c r="J134" i="1"/>
  <c r="I134" i="1"/>
  <c r="AO133" i="1"/>
  <c r="AI133" i="1"/>
  <c r="AF133" i="1"/>
  <c r="AE133" i="1"/>
  <c r="Q133" i="1"/>
  <c r="O133" i="1"/>
  <c r="M133" i="1"/>
  <c r="K133" i="1"/>
  <c r="AO132" i="1"/>
  <c r="AI132" i="1"/>
  <c r="AF132" i="1"/>
  <c r="AF130" i="1" s="1"/>
  <c r="AE132" i="1"/>
  <c r="AE130" i="1" s="1"/>
  <c r="Q132" i="1"/>
  <c r="O132" i="1"/>
  <c r="K132" i="1"/>
  <c r="AO131" i="1"/>
  <c r="AI131" i="1"/>
  <c r="AI130" i="1" s="1"/>
  <c r="AF131" i="1"/>
  <c r="AE131" i="1"/>
  <c r="Q131" i="1"/>
  <c r="Q130" i="1" s="1"/>
  <c r="K131" i="1"/>
  <c r="K130" i="1" s="1"/>
  <c r="AM130" i="1"/>
  <c r="AL130" i="1"/>
  <c r="AK130" i="1"/>
  <c r="AJ130" i="1"/>
  <c r="AH130" i="1"/>
  <c r="AG130" i="1"/>
  <c r="AD130" i="1"/>
  <c r="AC130" i="1"/>
  <c r="AB130" i="1"/>
  <c r="AA130" i="1"/>
  <c r="Z130" i="1"/>
  <c r="Y130" i="1"/>
  <c r="X130" i="1"/>
  <c r="W130" i="1"/>
  <c r="V130" i="1"/>
  <c r="AO130" i="1" s="1"/>
  <c r="U130" i="1"/>
  <c r="T130" i="1"/>
  <c r="S130" i="1"/>
  <c r="R130" i="1"/>
  <c r="P130" i="1"/>
  <c r="O130" i="1"/>
  <c r="N130" i="1"/>
  <c r="M130" i="1"/>
  <c r="L130" i="1"/>
  <c r="J130" i="1"/>
  <c r="I130" i="1"/>
  <c r="AO129" i="1"/>
  <c r="AI129" i="1"/>
  <c r="AF129" i="1"/>
  <c r="AE129" i="1" s="1"/>
  <c r="Q129" i="1"/>
  <c r="P129" i="1"/>
  <c r="O129" i="1"/>
  <c r="K129" i="1"/>
  <c r="I129" i="1"/>
  <c r="AO128" i="1"/>
  <c r="AI128" i="1"/>
  <c r="AF128" i="1"/>
  <c r="AE128" i="1" s="1"/>
  <c r="Q128" i="1"/>
  <c r="P128" i="1"/>
  <c r="K128" i="1"/>
  <c r="AI127" i="1"/>
  <c r="AF127" i="1"/>
  <c r="AE127" i="1" s="1"/>
  <c r="AE126" i="1" s="1"/>
  <c r="AA127" i="1"/>
  <c r="AO127" i="1" s="1"/>
  <c r="S127" i="1"/>
  <c r="S126" i="1" s="1"/>
  <c r="Q127" i="1"/>
  <c r="O127" i="1"/>
  <c r="M127" i="1"/>
  <c r="L127" i="1"/>
  <c r="AM126" i="1"/>
  <c r="AL126" i="1"/>
  <c r="AK126" i="1"/>
  <c r="AJ126" i="1"/>
  <c r="AH126" i="1"/>
  <c r="AG126" i="1"/>
  <c r="AD126" i="1"/>
  <c r="AC126" i="1"/>
  <c r="AB126" i="1"/>
  <c r="AA126" i="1"/>
  <c r="Z126" i="1"/>
  <c r="Y126" i="1"/>
  <c r="X126" i="1"/>
  <c r="W126" i="1"/>
  <c r="V126" i="1"/>
  <c r="AO126" i="1" s="1"/>
  <c r="U126" i="1"/>
  <c r="T126" i="1"/>
  <c r="R126" i="1"/>
  <c r="Q126" i="1"/>
  <c r="N126" i="1"/>
  <c r="M126" i="1"/>
  <c r="J126" i="1"/>
  <c r="I126" i="1"/>
  <c r="AO125" i="1"/>
  <c r="AI125" i="1"/>
  <c r="AF125" i="1"/>
  <c r="AE125" i="1" s="1"/>
  <c r="Q125" i="1"/>
  <c r="P125" i="1"/>
  <c r="O125" i="1"/>
  <c r="K125" i="1"/>
  <c r="AO124" i="1"/>
  <c r="AI124" i="1"/>
  <c r="AF124" i="1"/>
  <c r="AE124" i="1" s="1"/>
  <c r="Q124" i="1"/>
  <c r="P124" i="1"/>
  <c r="O124" i="1"/>
  <c r="O121" i="1" s="1"/>
  <c r="K124" i="1"/>
  <c r="AO123" i="1"/>
  <c r="AI123" i="1"/>
  <c r="AF123" i="1"/>
  <c r="AE123" i="1" s="1"/>
  <c r="Q123" i="1"/>
  <c r="K123" i="1"/>
  <c r="AO122" i="1"/>
  <c r="AI122" i="1"/>
  <c r="AI121" i="1" s="1"/>
  <c r="AA122" i="1"/>
  <c r="T122" i="1"/>
  <c r="T121" i="1" s="1"/>
  <c r="S122" i="1"/>
  <c r="Q122" i="1"/>
  <c r="L122" i="1"/>
  <c r="AM121" i="1"/>
  <c r="AL121" i="1"/>
  <c r="AK121" i="1"/>
  <c r="AJ121" i="1"/>
  <c r="AH121" i="1"/>
  <c r="AG121" i="1"/>
  <c r="AD121" i="1"/>
  <c r="AC121" i="1"/>
  <c r="AB121" i="1"/>
  <c r="Z121" i="1"/>
  <c r="Y121" i="1"/>
  <c r="X121" i="1"/>
  <c r="W121" i="1"/>
  <c r="V121" i="1"/>
  <c r="U121" i="1"/>
  <c r="S121" i="1"/>
  <c r="R121" i="1"/>
  <c r="Q121" i="1"/>
  <c r="P121" i="1"/>
  <c r="N121" i="1"/>
  <c r="M121" i="1"/>
  <c r="J121" i="1"/>
  <c r="I121" i="1"/>
  <c r="AO120" i="1"/>
  <c r="AI120" i="1"/>
  <c r="AF120" i="1"/>
  <c r="AE120" i="1" s="1"/>
  <c r="Q120" i="1"/>
  <c r="O120" i="1"/>
  <c r="M120" i="1"/>
  <c r="K120" i="1"/>
  <c r="AO119" i="1"/>
  <c r="AI119" i="1"/>
  <c r="AF119" i="1"/>
  <c r="AE119" i="1" s="1"/>
  <c r="Q119" i="1"/>
  <c r="O119" i="1"/>
  <c r="M119" i="1"/>
  <c r="K119" i="1"/>
  <c r="AO118" i="1"/>
  <c r="AI118" i="1"/>
  <c r="AF118" i="1"/>
  <c r="Q118" i="1"/>
  <c r="O118" i="1"/>
  <c r="M118" i="1"/>
  <c r="M117" i="1" s="1"/>
  <c r="K118" i="1"/>
  <c r="K117" i="1" s="1"/>
  <c r="AM117" i="1"/>
  <c r="AL117" i="1"/>
  <c r="AK117" i="1"/>
  <c r="AJ117" i="1"/>
  <c r="AI117" i="1"/>
  <c r="AH117" i="1"/>
  <c r="AG117" i="1"/>
  <c r="AD117" i="1"/>
  <c r="AC117" i="1"/>
  <c r="AB117" i="1"/>
  <c r="AA117" i="1"/>
  <c r="Z117" i="1"/>
  <c r="Y117" i="1"/>
  <c r="X117" i="1"/>
  <c r="W117" i="1"/>
  <c r="V117" i="1"/>
  <c r="AO117" i="1" s="1"/>
  <c r="U117" i="1"/>
  <c r="T117" i="1"/>
  <c r="S117" i="1"/>
  <c r="R117" i="1"/>
  <c r="Q117" i="1"/>
  <c r="P117" i="1"/>
  <c r="O117" i="1"/>
  <c r="N117" i="1"/>
  <c r="L117" i="1"/>
  <c r="J117" i="1"/>
  <c r="I117" i="1"/>
  <c r="AI116" i="1"/>
  <c r="AF116" i="1"/>
  <c r="AE116" i="1" s="1"/>
  <c r="AA116" i="1"/>
  <c r="AO116" i="1" s="1"/>
  <c r="T116" i="1"/>
  <c r="S116" i="1"/>
  <c r="Q116" i="1"/>
  <c r="O116" i="1"/>
  <c r="M116" i="1"/>
  <c r="L116" i="1"/>
  <c r="AO115" i="1"/>
  <c r="AI115" i="1"/>
  <c r="AF115" i="1"/>
  <c r="T115" i="1"/>
  <c r="S115" i="1" s="1"/>
  <c r="Q115" i="1"/>
  <c r="Q113" i="1" s="1"/>
  <c r="O115" i="1"/>
  <c r="O113" i="1" s="1"/>
  <c r="M115" i="1"/>
  <c r="K115" i="1"/>
  <c r="AO114" i="1"/>
  <c r="AI114" i="1"/>
  <c r="AI113" i="1" s="1"/>
  <c r="AF114" i="1"/>
  <c r="AE114" i="1" s="1"/>
  <c r="S114" i="1"/>
  <c r="S113" i="1" s="1"/>
  <c r="Q114" i="1"/>
  <c r="O114" i="1"/>
  <c r="M114" i="1"/>
  <c r="K114" i="1"/>
  <c r="AO113" i="1"/>
  <c r="AM113" i="1"/>
  <c r="AL113" i="1"/>
  <c r="AK113" i="1"/>
  <c r="AJ113" i="1"/>
  <c r="AH113" i="1"/>
  <c r="AG113" i="1"/>
  <c r="AD113" i="1"/>
  <c r="AC113" i="1"/>
  <c r="AB113" i="1"/>
  <c r="AA113" i="1"/>
  <c r="Z113" i="1"/>
  <c r="Y113" i="1"/>
  <c r="X113" i="1"/>
  <c r="W113" i="1"/>
  <c r="V113" i="1"/>
  <c r="U113" i="1"/>
  <c r="T113" i="1"/>
  <c r="R113" i="1"/>
  <c r="P113" i="1"/>
  <c r="N113" i="1"/>
  <c r="M113" i="1"/>
  <c r="J113" i="1"/>
  <c r="I113" i="1"/>
  <c r="AI112" i="1"/>
  <c r="AA112" i="1"/>
  <c r="AO112" i="1" s="1"/>
  <c r="T112" i="1"/>
  <c r="S112" i="1"/>
  <c r="Q112" i="1"/>
  <c r="Q109" i="1" s="1"/>
  <c r="O112" i="1"/>
  <c r="O109" i="1" s="1"/>
  <c r="M112" i="1"/>
  <c r="K112" i="1"/>
  <c r="AO111" i="1"/>
  <c r="AI111" i="1"/>
  <c r="AI109" i="1" s="1"/>
  <c r="AF111" i="1"/>
  <c r="AE111" i="1" s="1"/>
  <c r="S111" i="1"/>
  <c r="Q111" i="1"/>
  <c r="O111" i="1"/>
  <c r="M111" i="1"/>
  <c r="K111" i="1"/>
  <c r="AO110" i="1"/>
  <c r="AI110" i="1"/>
  <c r="AF110" i="1"/>
  <c r="AE110" i="1"/>
  <c r="S110" i="1"/>
  <c r="S109" i="1" s="1"/>
  <c r="Q110" i="1"/>
  <c r="O110" i="1"/>
  <c r="M110" i="1"/>
  <c r="M109" i="1" s="1"/>
  <c r="K110" i="1"/>
  <c r="K109" i="1" s="1"/>
  <c r="AM109" i="1"/>
  <c r="AL109" i="1"/>
  <c r="AL94" i="1" s="1"/>
  <c r="AK109" i="1"/>
  <c r="AJ109" i="1"/>
  <c r="AH109" i="1"/>
  <c r="AG109" i="1"/>
  <c r="AD109" i="1"/>
  <c r="AC109" i="1"/>
  <c r="AC94" i="1" s="1"/>
  <c r="AB109" i="1"/>
  <c r="Z109" i="1"/>
  <c r="Z94" i="1" s="1"/>
  <c r="Y109" i="1"/>
  <c r="X109" i="1"/>
  <c r="W109" i="1"/>
  <c r="V109" i="1"/>
  <c r="U109" i="1"/>
  <c r="T109" i="1"/>
  <c r="R109" i="1"/>
  <c r="P109" i="1"/>
  <c r="N109" i="1"/>
  <c r="L109" i="1"/>
  <c r="J109" i="1"/>
  <c r="I109" i="1"/>
  <c r="AI108" i="1"/>
  <c r="AF108" i="1"/>
  <c r="AE108" i="1" s="1"/>
  <c r="T108" i="1"/>
  <c r="AA108" i="1" s="1"/>
  <c r="AO108" i="1" s="1"/>
  <c r="S108" i="1"/>
  <c r="P108" i="1"/>
  <c r="O108" i="1" s="1"/>
  <c r="K108" i="1"/>
  <c r="AI107" i="1"/>
  <c r="AA107" i="1"/>
  <c r="AF107" i="1" s="1"/>
  <c r="AE107" i="1" s="1"/>
  <c r="T107" i="1"/>
  <c r="S107" i="1" s="1"/>
  <c r="P107" i="1"/>
  <c r="O107" i="1"/>
  <c r="K107" i="1"/>
  <c r="AI106" i="1"/>
  <c r="T106" i="1"/>
  <c r="AA106" i="1" s="1"/>
  <c r="AO106" i="1" s="1"/>
  <c r="S106" i="1"/>
  <c r="P106" i="1"/>
  <c r="O106" i="1" s="1"/>
  <c r="K106" i="1"/>
  <c r="AI105" i="1"/>
  <c r="AA105" i="1"/>
  <c r="AF105" i="1" s="1"/>
  <c r="AE105" i="1" s="1"/>
  <c r="T105" i="1"/>
  <c r="S105" i="1" s="1"/>
  <c r="P105" i="1"/>
  <c r="O105" i="1"/>
  <c r="K105" i="1"/>
  <c r="AI104" i="1"/>
  <c r="AF104" i="1"/>
  <c r="AE104" i="1" s="1"/>
  <c r="T104" i="1"/>
  <c r="AA104" i="1" s="1"/>
  <c r="AO104" i="1" s="1"/>
  <c r="S104" i="1"/>
  <c r="P104" i="1"/>
  <c r="O104" i="1" s="1"/>
  <c r="K104" i="1"/>
  <c r="AO103" i="1"/>
  <c r="AI103" i="1"/>
  <c r="AA103" i="1"/>
  <c r="AF103" i="1" s="1"/>
  <c r="AE103" i="1" s="1"/>
  <c r="T103" i="1"/>
  <c r="S103" i="1" s="1"/>
  <c r="P103" i="1"/>
  <c r="O103" i="1"/>
  <c r="K103" i="1"/>
  <c r="AI102" i="1"/>
  <c r="T102" i="1"/>
  <c r="AA102" i="1" s="1"/>
  <c r="AO102" i="1" s="1"/>
  <c r="S102" i="1"/>
  <c r="P102" i="1"/>
  <c r="O102" i="1" s="1"/>
  <c r="K102" i="1"/>
  <c r="AO101" i="1"/>
  <c r="AI101" i="1"/>
  <c r="AA101" i="1"/>
  <c r="AF101" i="1" s="1"/>
  <c r="AE101" i="1" s="1"/>
  <c r="T101" i="1"/>
  <c r="S101" i="1" s="1"/>
  <c r="Q101" i="1"/>
  <c r="P101" i="1"/>
  <c r="O101" i="1" s="1"/>
  <c r="K101" i="1"/>
  <c r="AO100" i="1"/>
  <c r="AI100" i="1"/>
  <c r="AI95" i="1" s="1"/>
  <c r="AF100" i="1"/>
  <c r="AE100" i="1" s="1"/>
  <c r="S100" i="1"/>
  <c r="Q100" i="1"/>
  <c r="P100" i="1"/>
  <c r="O100" i="1" s="1"/>
  <c r="K100" i="1"/>
  <c r="AO99" i="1"/>
  <c r="AI99" i="1"/>
  <c r="AF99" i="1"/>
  <c r="AE99" i="1"/>
  <c r="S99" i="1"/>
  <c r="S95" i="1" s="1"/>
  <c r="S94" i="1" s="1"/>
  <c r="Q99" i="1"/>
  <c r="P99" i="1"/>
  <c r="O99" i="1"/>
  <c r="K99" i="1"/>
  <c r="AO98" i="1"/>
  <c r="AI98" i="1"/>
  <c r="AF98" i="1"/>
  <c r="AE98" i="1"/>
  <c r="S98" i="1"/>
  <c r="Q98" i="1"/>
  <c r="P98" i="1"/>
  <c r="O98" i="1"/>
  <c r="K98" i="1"/>
  <c r="AO97" i="1"/>
  <c r="AI97" i="1"/>
  <c r="AF97" i="1"/>
  <c r="AE97" i="1" s="1"/>
  <c r="S97" i="1"/>
  <c r="Q97" i="1"/>
  <c r="O97" i="1"/>
  <c r="K97" i="1"/>
  <c r="AO96" i="1"/>
  <c r="AI96" i="1"/>
  <c r="AF96" i="1"/>
  <c r="S96" i="1"/>
  <c r="Q96" i="1"/>
  <c r="Q95" i="1" s="1"/>
  <c r="O96" i="1"/>
  <c r="O95" i="1" s="1"/>
  <c r="M96" i="1"/>
  <c r="M95" i="1" s="1"/>
  <c r="K96" i="1"/>
  <c r="AM95" i="1"/>
  <c r="AM94" i="1" s="1"/>
  <c r="AL95" i="1"/>
  <c r="AK95" i="1"/>
  <c r="AJ95" i="1"/>
  <c r="AH95" i="1"/>
  <c r="AG95" i="1"/>
  <c r="AD95" i="1"/>
  <c r="AC95" i="1"/>
  <c r="AB95" i="1"/>
  <c r="Z95" i="1"/>
  <c r="Y95" i="1"/>
  <c r="X95" i="1"/>
  <c r="W95" i="1"/>
  <c r="W94" i="1" s="1"/>
  <c r="V95" i="1"/>
  <c r="U95" i="1"/>
  <c r="R95" i="1"/>
  <c r="N95" i="1"/>
  <c r="L95" i="1"/>
  <c r="K95" i="1"/>
  <c r="J95" i="1"/>
  <c r="I95" i="1"/>
  <c r="AO93" i="1"/>
  <c r="AK93" i="1"/>
  <c r="AK92" i="1" s="1"/>
  <c r="AK91" i="1" s="1"/>
  <c r="AJ93" i="1"/>
  <c r="AF93" i="1"/>
  <c r="AE93" i="1"/>
  <c r="AE92" i="1" s="1"/>
  <c r="AE91" i="1" s="1"/>
  <c r="Q93" i="1"/>
  <c r="P93" i="1"/>
  <c r="O93" i="1"/>
  <c r="O92" i="1" s="1"/>
  <c r="O91" i="1" s="1"/>
  <c r="K93" i="1"/>
  <c r="K92" i="1" s="1"/>
  <c r="K91" i="1" s="1"/>
  <c r="AO92" i="1"/>
  <c r="AM92" i="1"/>
  <c r="AL92" i="1"/>
  <c r="AJ92" i="1"/>
  <c r="AH92" i="1"/>
  <c r="AG92" i="1"/>
  <c r="AF92" i="1"/>
  <c r="AD92" i="1"/>
  <c r="AC92" i="1"/>
  <c r="AB92" i="1"/>
  <c r="AA92" i="1"/>
  <c r="Z92" i="1"/>
  <c r="Y92" i="1"/>
  <c r="X92" i="1"/>
  <c r="W92" i="1"/>
  <c r="V92" i="1"/>
  <c r="U92" i="1"/>
  <c r="T92" i="1"/>
  <c r="S92" i="1"/>
  <c r="R92" i="1"/>
  <c r="Q92" i="1"/>
  <c r="P92" i="1"/>
  <c r="N92" i="1"/>
  <c r="M92" i="1"/>
  <c r="L92" i="1"/>
  <c r="J92" i="1"/>
  <c r="I92" i="1"/>
  <c r="AO91" i="1"/>
  <c r="AM91" i="1"/>
  <c r="AL91" i="1"/>
  <c r="AJ91" i="1"/>
  <c r="AH91" i="1"/>
  <c r="AG91" i="1"/>
  <c r="AF91" i="1"/>
  <c r="AD91" i="1"/>
  <c r="AC91" i="1"/>
  <c r="AB91" i="1"/>
  <c r="AA91" i="1"/>
  <c r="Z91" i="1"/>
  <c r="Y91" i="1"/>
  <c r="X91" i="1"/>
  <c r="W91" i="1"/>
  <c r="V91" i="1"/>
  <c r="U91" i="1"/>
  <c r="T91" i="1"/>
  <c r="S91" i="1"/>
  <c r="R91" i="1"/>
  <c r="Q91" i="1"/>
  <c r="P91" i="1"/>
  <c r="N91" i="1"/>
  <c r="M91" i="1"/>
  <c r="L91" i="1"/>
  <c r="J91" i="1"/>
  <c r="I91" i="1"/>
  <c r="AM90" i="1"/>
  <c r="AI90" i="1"/>
  <c r="AP90" i="1" s="1"/>
  <c r="AF90" i="1"/>
  <c r="AE90" i="1" s="1"/>
  <c r="AA90" i="1"/>
  <c r="AO90" i="1" s="1"/>
  <c r="T90" i="1"/>
  <c r="T89" i="1" s="1"/>
  <c r="T88" i="1" s="1"/>
  <c r="S90" i="1"/>
  <c r="Q90" i="1"/>
  <c r="P90" i="1"/>
  <c r="O90" i="1"/>
  <c r="O89" i="1" s="1"/>
  <c r="O88" i="1" s="1"/>
  <c r="M90" i="1"/>
  <c r="M89" i="1" s="1"/>
  <c r="M88" i="1" s="1"/>
  <c r="K90" i="1"/>
  <c r="AM89" i="1"/>
  <c r="AL89" i="1"/>
  <c r="AK89" i="1"/>
  <c r="AJ89" i="1"/>
  <c r="AH89" i="1"/>
  <c r="AG89" i="1"/>
  <c r="AE89" i="1"/>
  <c r="AD89" i="1"/>
  <c r="AC89" i="1"/>
  <c r="AB89" i="1"/>
  <c r="AA89" i="1"/>
  <c r="Z89" i="1"/>
  <c r="Y89" i="1"/>
  <c r="X89" i="1"/>
  <c r="W89" i="1"/>
  <c r="V89" i="1"/>
  <c r="U89" i="1"/>
  <c r="S89" i="1"/>
  <c r="R89" i="1"/>
  <c r="Q89" i="1"/>
  <c r="P89" i="1"/>
  <c r="N89" i="1"/>
  <c r="L89" i="1"/>
  <c r="K89" i="1"/>
  <c r="J89" i="1"/>
  <c r="I89" i="1"/>
  <c r="AM88" i="1"/>
  <c r="AL88" i="1"/>
  <c r="AK88" i="1"/>
  <c r="AJ88" i="1"/>
  <c r="AH88" i="1"/>
  <c r="AG88" i="1"/>
  <c r="AE88" i="1"/>
  <c r="AD88" i="1"/>
  <c r="AC88" i="1"/>
  <c r="AB88" i="1"/>
  <c r="AA88" i="1"/>
  <c r="Z88" i="1"/>
  <c r="Y88" i="1"/>
  <c r="X88" i="1"/>
  <c r="W88" i="1"/>
  <c r="V88" i="1"/>
  <c r="U88" i="1"/>
  <c r="S88" i="1"/>
  <c r="R88" i="1"/>
  <c r="Q88" i="1"/>
  <c r="P88" i="1"/>
  <c r="N88" i="1"/>
  <c r="L88" i="1"/>
  <c r="K88" i="1"/>
  <c r="J88" i="1"/>
  <c r="I88" i="1"/>
  <c r="AI87" i="1"/>
  <c r="AO86" i="1"/>
  <c r="AI86" i="1"/>
  <c r="AF86" i="1"/>
  <c r="AE86" i="1"/>
  <c r="Q86" i="1"/>
  <c r="Q84" i="1" s="1"/>
  <c r="Q83" i="1" s="1"/>
  <c r="O86" i="1"/>
  <c r="M86" i="1"/>
  <c r="K86" i="1"/>
  <c r="AO85" i="1"/>
  <c r="AI85" i="1"/>
  <c r="AF85" i="1"/>
  <c r="AE85" i="1"/>
  <c r="AO84" i="1"/>
  <c r="AM84" i="1"/>
  <c r="AL84" i="1"/>
  <c r="AK84" i="1"/>
  <c r="AJ84" i="1"/>
  <c r="AJ83" i="1" s="1"/>
  <c r="AI84" i="1"/>
  <c r="AH84" i="1"/>
  <c r="AG84" i="1"/>
  <c r="AF84" i="1"/>
  <c r="AF83" i="1" s="1"/>
  <c r="AE84" i="1"/>
  <c r="AD84" i="1"/>
  <c r="AC84" i="1"/>
  <c r="AB84" i="1"/>
  <c r="AB83" i="1" s="1"/>
  <c r="AA84" i="1"/>
  <c r="Z84" i="1"/>
  <c r="Y84" i="1"/>
  <c r="X84" i="1"/>
  <c r="X83" i="1" s="1"/>
  <c r="W84" i="1"/>
  <c r="V84" i="1"/>
  <c r="U84" i="1"/>
  <c r="T84" i="1"/>
  <c r="T83" i="1" s="1"/>
  <c r="S84" i="1"/>
  <c r="R84" i="1"/>
  <c r="P84" i="1"/>
  <c r="O84" i="1"/>
  <c r="N84" i="1"/>
  <c r="M84" i="1"/>
  <c r="L84" i="1"/>
  <c r="K84" i="1"/>
  <c r="J84" i="1"/>
  <c r="I84" i="1"/>
  <c r="AO83" i="1"/>
  <c r="AM83" i="1"/>
  <c r="AL83" i="1"/>
  <c r="AK83" i="1"/>
  <c r="AI83" i="1"/>
  <c r="AH83" i="1"/>
  <c r="AG83" i="1"/>
  <c r="AE83" i="1"/>
  <c r="AD83" i="1"/>
  <c r="AC83" i="1"/>
  <c r="AA83" i="1"/>
  <c r="Z83" i="1"/>
  <c r="Y83" i="1"/>
  <c r="W83" i="1"/>
  <c r="V83" i="1"/>
  <c r="U83" i="1"/>
  <c r="S83" i="1"/>
  <c r="R83" i="1"/>
  <c r="P83" i="1"/>
  <c r="O83" i="1"/>
  <c r="N83" i="1"/>
  <c r="M83" i="1"/>
  <c r="L83" i="1"/>
  <c r="K83" i="1"/>
  <c r="J83" i="1"/>
  <c r="I83" i="1"/>
  <c r="AQ82" i="1"/>
  <c r="AI82" i="1"/>
  <c r="AA82" i="1"/>
  <c r="AO82" i="1" s="1"/>
  <c r="T82" i="1"/>
  <c r="S82" i="1"/>
  <c r="Q82" i="1"/>
  <c r="Q81" i="1" s="1"/>
  <c r="Q80" i="1" s="1"/>
  <c r="O82" i="1"/>
  <c r="M82" i="1"/>
  <c r="M81" i="1" s="1"/>
  <c r="M80" i="1" s="1"/>
  <c r="K82" i="1"/>
  <c r="AO81" i="1"/>
  <c r="AM81" i="1"/>
  <c r="AL81" i="1"/>
  <c r="AK81" i="1"/>
  <c r="AJ81" i="1"/>
  <c r="AJ80" i="1" s="1"/>
  <c r="AI81" i="1"/>
  <c r="AH81" i="1"/>
  <c r="AG81" i="1"/>
  <c r="AD81" i="1"/>
  <c r="AC81" i="1"/>
  <c r="AB81" i="1"/>
  <c r="AB80" i="1" s="1"/>
  <c r="AA81" i="1"/>
  <c r="Z81" i="1"/>
  <c r="Y81" i="1"/>
  <c r="X81" i="1"/>
  <c r="X80" i="1" s="1"/>
  <c r="W81" i="1"/>
  <c r="V81" i="1"/>
  <c r="U81" i="1"/>
  <c r="T81" i="1"/>
  <c r="T80" i="1" s="1"/>
  <c r="S81" i="1"/>
  <c r="R81" i="1"/>
  <c r="P81" i="1"/>
  <c r="P80" i="1" s="1"/>
  <c r="O81" i="1"/>
  <c r="N81" i="1"/>
  <c r="L81" i="1"/>
  <c r="L80" i="1" s="1"/>
  <c r="K81" i="1"/>
  <c r="J81" i="1"/>
  <c r="I81" i="1"/>
  <c r="AL80" i="1"/>
  <c r="AK80" i="1"/>
  <c r="AI80" i="1"/>
  <c r="AH80" i="1"/>
  <c r="AG80" i="1"/>
  <c r="AD80" i="1"/>
  <c r="AC80" i="1"/>
  <c r="AA80" i="1"/>
  <c r="AO80" i="1" s="1"/>
  <c r="Z80" i="1"/>
  <c r="Y80" i="1"/>
  <c r="W80" i="1"/>
  <c r="V80" i="1"/>
  <c r="U80" i="1"/>
  <c r="S80" i="1"/>
  <c r="R80" i="1"/>
  <c r="O80" i="1"/>
  <c r="N80" i="1"/>
  <c r="K80" i="1"/>
  <c r="J80" i="1"/>
  <c r="I80" i="1"/>
  <c r="AO79" i="1"/>
  <c r="AI79" i="1"/>
  <c r="AI78" i="1" s="1"/>
  <c r="AI77" i="1" s="1"/>
  <c r="AF79" i="1"/>
  <c r="AE79" i="1"/>
  <c r="AE78" i="1" s="1"/>
  <c r="AE77" i="1" s="1"/>
  <c r="Q79" i="1"/>
  <c r="O79" i="1"/>
  <c r="O78" i="1" s="1"/>
  <c r="O77" i="1" s="1"/>
  <c r="K79" i="1"/>
  <c r="AM78" i="1"/>
  <c r="AL78" i="1"/>
  <c r="AK78" i="1"/>
  <c r="AJ78" i="1"/>
  <c r="AH78" i="1"/>
  <c r="AG78" i="1"/>
  <c r="AF78" i="1"/>
  <c r="AD78" i="1"/>
  <c r="AC78" i="1"/>
  <c r="AB78" i="1"/>
  <c r="AA78" i="1"/>
  <c r="Z78" i="1"/>
  <c r="Y78" i="1"/>
  <c r="X78" i="1"/>
  <c r="W78" i="1"/>
  <c r="V78" i="1"/>
  <c r="AO78" i="1" s="1"/>
  <c r="U78" i="1"/>
  <c r="T78" i="1"/>
  <c r="S78" i="1"/>
  <c r="R78" i="1"/>
  <c r="Q78" i="1"/>
  <c r="P78" i="1"/>
  <c r="N78" i="1"/>
  <c r="M78" i="1"/>
  <c r="L78" i="1"/>
  <c r="K78" i="1"/>
  <c r="J78" i="1"/>
  <c r="I78" i="1"/>
  <c r="AM77" i="1"/>
  <c r="AL77" i="1"/>
  <c r="AK77" i="1"/>
  <c r="AJ77" i="1"/>
  <c r="AH77" i="1"/>
  <c r="AG77" i="1"/>
  <c r="AF77" i="1"/>
  <c r="AD77" i="1"/>
  <c r="AC77" i="1"/>
  <c r="AB77" i="1"/>
  <c r="AA77" i="1"/>
  <c r="Z77" i="1"/>
  <c r="Y77" i="1"/>
  <c r="X77" i="1"/>
  <c r="W77" i="1"/>
  <c r="V77" i="1"/>
  <c r="AO77" i="1" s="1"/>
  <c r="U77" i="1"/>
  <c r="T77" i="1"/>
  <c r="S77" i="1"/>
  <c r="R77" i="1"/>
  <c r="Q77" i="1"/>
  <c r="P77" i="1"/>
  <c r="N77" i="1"/>
  <c r="M77" i="1"/>
  <c r="L77" i="1"/>
  <c r="K77" i="1"/>
  <c r="J77" i="1"/>
  <c r="I77" i="1"/>
  <c r="AO76" i="1"/>
  <c r="AI76" i="1"/>
  <c r="AF76" i="1"/>
  <c r="AE76" i="1" s="1"/>
  <c r="S76" i="1"/>
  <c r="Q76" i="1"/>
  <c r="Q70" i="1" s="1"/>
  <c r="Q69" i="1" s="1"/>
  <c r="P76" i="1"/>
  <c r="O76" i="1"/>
  <c r="K76" i="1"/>
  <c r="J76" i="1"/>
  <c r="T76" i="1" s="1"/>
  <c r="AO75" i="1"/>
  <c r="AI75" i="1"/>
  <c r="AI74" i="1"/>
  <c r="AA74" i="1"/>
  <c r="V74" i="1"/>
  <c r="Q74" i="1"/>
  <c r="L74" i="1"/>
  <c r="J74" i="1"/>
  <c r="I74" i="1" s="1"/>
  <c r="I70" i="1" s="1"/>
  <c r="I69" i="1" s="1"/>
  <c r="AI73" i="1"/>
  <c r="AA73" i="1"/>
  <c r="T73" i="1"/>
  <c r="S73" i="1"/>
  <c r="Q73" i="1"/>
  <c r="P73" i="1"/>
  <c r="K73" i="1"/>
  <c r="AI72" i="1"/>
  <c r="AA72" i="1"/>
  <c r="AF72" i="1" s="1"/>
  <c r="AE72" i="1" s="1"/>
  <c r="T72" i="1"/>
  <c r="S72" i="1"/>
  <c r="Q72" i="1"/>
  <c r="O72" i="1"/>
  <c r="L72" i="1"/>
  <c r="AO71" i="1"/>
  <c r="AI71" i="1"/>
  <c r="AF71" i="1"/>
  <c r="Q71" i="1"/>
  <c r="O71" i="1"/>
  <c r="K71" i="1"/>
  <c r="AM70" i="1"/>
  <c r="AL70" i="1"/>
  <c r="AK70" i="1"/>
  <c r="AJ70" i="1"/>
  <c r="AH70" i="1"/>
  <c r="AG70" i="1"/>
  <c r="AD70" i="1"/>
  <c r="AC70" i="1"/>
  <c r="AB70" i="1"/>
  <c r="Z70" i="1"/>
  <c r="Y70" i="1"/>
  <c r="X70" i="1"/>
  <c r="W70" i="1"/>
  <c r="U70" i="1"/>
  <c r="S70" i="1"/>
  <c r="R70" i="1"/>
  <c r="N70" i="1"/>
  <c r="M70" i="1"/>
  <c r="AM69" i="1"/>
  <c r="AL69" i="1"/>
  <c r="AK69" i="1"/>
  <c r="AJ69" i="1"/>
  <c r="AH69" i="1"/>
  <c r="AG69" i="1"/>
  <c r="AD69" i="1"/>
  <c r="AC69" i="1"/>
  <c r="AB69" i="1"/>
  <c r="Z69" i="1"/>
  <c r="Y69" i="1"/>
  <c r="X69" i="1"/>
  <c r="W69" i="1"/>
  <c r="U69" i="1"/>
  <c r="S69" i="1"/>
  <c r="R69" i="1"/>
  <c r="N69" i="1"/>
  <c r="M69" i="1"/>
  <c r="AO68" i="1"/>
  <c r="AI68" i="1"/>
  <c r="AI67" i="1" s="1"/>
  <c r="AF68" i="1"/>
  <c r="AE68" i="1"/>
  <c r="AE67" i="1" s="1"/>
  <c r="S68" i="1"/>
  <c r="Q68" i="1"/>
  <c r="Q67" i="1" s="1"/>
  <c r="P68" i="1"/>
  <c r="O68" i="1"/>
  <c r="O67" i="1" s="1"/>
  <c r="K68" i="1"/>
  <c r="AM67" i="1"/>
  <c r="AL67" i="1"/>
  <c r="AK67" i="1"/>
  <c r="AJ67" i="1"/>
  <c r="AH67" i="1"/>
  <c r="AG67" i="1"/>
  <c r="AF67" i="1"/>
  <c r="AD67" i="1"/>
  <c r="AC67" i="1"/>
  <c r="AB67" i="1"/>
  <c r="AA67" i="1"/>
  <c r="Z67" i="1"/>
  <c r="Y67" i="1"/>
  <c r="X67" i="1"/>
  <c r="W67" i="1"/>
  <c r="V67" i="1"/>
  <c r="AO67" i="1" s="1"/>
  <c r="U67" i="1"/>
  <c r="T67" i="1"/>
  <c r="S67" i="1"/>
  <c r="R67" i="1"/>
  <c r="P67" i="1"/>
  <c r="N67" i="1"/>
  <c r="N55" i="1" s="1"/>
  <c r="M67" i="1"/>
  <c r="L67" i="1"/>
  <c r="K67" i="1"/>
  <c r="J67" i="1"/>
  <c r="J55" i="1" s="1"/>
  <c r="I67" i="1"/>
  <c r="AI66" i="1"/>
  <c r="AF66" i="1"/>
  <c r="AE66" i="1" s="1"/>
  <c r="AA66" i="1"/>
  <c r="AO66" i="1" s="1"/>
  <c r="T66" i="1"/>
  <c r="S66" i="1"/>
  <c r="Q66" i="1"/>
  <c r="O66" i="1"/>
  <c r="K66" i="1"/>
  <c r="AO65" i="1"/>
  <c r="AI65" i="1"/>
  <c r="AF65" i="1"/>
  <c r="AE65" i="1" s="1"/>
  <c r="Q65" i="1"/>
  <c r="P65" i="1"/>
  <c r="O65" i="1"/>
  <c r="K65" i="1"/>
  <c r="AI64" i="1"/>
  <c r="T64" i="1"/>
  <c r="Q64" i="1"/>
  <c r="K64" i="1"/>
  <c r="AI63" i="1"/>
  <c r="AI61" i="1" s="1"/>
  <c r="AA63" i="1"/>
  <c r="AO63" i="1" s="1"/>
  <c r="AO62" i="1"/>
  <c r="AI62" i="1"/>
  <c r="AF62" i="1"/>
  <c r="AE62" i="1" s="1"/>
  <c r="T62" i="1"/>
  <c r="S62" i="1"/>
  <c r="Q62" i="1"/>
  <c r="Q61" i="1" s="1"/>
  <c r="P62" i="1"/>
  <c r="O62" i="1"/>
  <c r="O61" i="1" s="1"/>
  <c r="K62" i="1"/>
  <c r="AM61" i="1"/>
  <c r="AL61" i="1"/>
  <c r="AK61" i="1"/>
  <c r="AJ61" i="1"/>
  <c r="AJ55" i="1" s="1"/>
  <c r="AH61" i="1"/>
  <c r="AG61" i="1"/>
  <c r="AD61" i="1"/>
  <c r="AC61" i="1"/>
  <c r="AB61" i="1"/>
  <c r="Z61" i="1"/>
  <c r="Y61" i="1"/>
  <c r="X61" i="1"/>
  <c r="X55" i="1" s="1"/>
  <c r="W61" i="1"/>
  <c r="V61" i="1"/>
  <c r="U61" i="1"/>
  <c r="T61" i="1"/>
  <c r="T55" i="1" s="1"/>
  <c r="R61" i="1"/>
  <c r="P61" i="1"/>
  <c r="N61" i="1"/>
  <c r="M61" i="1"/>
  <c r="L61" i="1"/>
  <c r="J61" i="1"/>
  <c r="I61" i="1"/>
  <c r="AO60" i="1"/>
  <c r="AI60" i="1"/>
  <c r="AF60" i="1"/>
  <c r="AE60" i="1" s="1"/>
  <c r="AO59" i="1"/>
  <c r="AI59" i="1"/>
  <c r="AF59" i="1"/>
  <c r="AE59" i="1" s="1"/>
  <c r="AI58" i="1"/>
  <c r="AI56" i="1" s="1"/>
  <c r="AI55" i="1" s="1"/>
  <c r="AA58" i="1"/>
  <c r="AF58" i="1" s="1"/>
  <c r="AE58" i="1" s="1"/>
  <c r="S58" i="1"/>
  <c r="Q58" i="1"/>
  <c r="P58" i="1"/>
  <c r="O58" i="1"/>
  <c r="K58" i="1"/>
  <c r="AI57" i="1"/>
  <c r="AF57" i="1"/>
  <c r="AE57" i="1"/>
  <c r="AE56" i="1" s="1"/>
  <c r="AA57" i="1"/>
  <c r="AO57" i="1" s="1"/>
  <c r="T57" i="1"/>
  <c r="S57" i="1"/>
  <c r="S56" i="1" s="1"/>
  <c r="Q57" i="1"/>
  <c r="L57" i="1"/>
  <c r="K57" i="1"/>
  <c r="K56" i="1" s="1"/>
  <c r="AM56" i="1"/>
  <c r="AL56" i="1"/>
  <c r="AL55" i="1" s="1"/>
  <c r="AK56" i="1"/>
  <c r="AJ56" i="1"/>
  <c r="AH56" i="1"/>
  <c r="AG56" i="1"/>
  <c r="AG55" i="1" s="1"/>
  <c r="AD56" i="1"/>
  <c r="AC56" i="1"/>
  <c r="AC55" i="1" s="1"/>
  <c r="AB56" i="1"/>
  <c r="Z56" i="1"/>
  <c r="Z55" i="1" s="1"/>
  <c r="Y56" i="1"/>
  <c r="X56" i="1"/>
  <c r="W56" i="1"/>
  <c r="V56" i="1"/>
  <c r="U56" i="1"/>
  <c r="T56" i="1"/>
  <c r="R56" i="1"/>
  <c r="Q56" i="1"/>
  <c r="Q55" i="1" s="1"/>
  <c r="N56" i="1"/>
  <c r="M56" i="1"/>
  <c r="J56" i="1"/>
  <c r="I56" i="1"/>
  <c r="I55" i="1" s="1"/>
  <c r="AM55" i="1"/>
  <c r="AK55" i="1"/>
  <c r="AH55" i="1"/>
  <c r="AD55" i="1"/>
  <c r="AB55" i="1"/>
  <c r="Y55" i="1"/>
  <c r="W55" i="1"/>
  <c r="U55" i="1"/>
  <c r="R55" i="1"/>
  <c r="M55" i="1"/>
  <c r="AO54" i="1"/>
  <c r="AI54" i="1"/>
  <c r="AF54" i="1"/>
  <c r="AF53" i="1" s="1"/>
  <c r="AF52" i="1" s="1"/>
  <c r="S54" i="1"/>
  <c r="Q54" i="1"/>
  <c r="O54" i="1"/>
  <c r="K54" i="1"/>
  <c r="K53" i="1" s="1"/>
  <c r="K52" i="1" s="1"/>
  <c r="AM53" i="1"/>
  <c r="AL53" i="1"/>
  <c r="AK53" i="1"/>
  <c r="AJ53" i="1"/>
  <c r="AI53" i="1"/>
  <c r="AH53" i="1"/>
  <c r="AG53" i="1"/>
  <c r="AD53" i="1"/>
  <c r="AC53" i="1"/>
  <c r="AB53" i="1"/>
  <c r="AA53" i="1"/>
  <c r="Z53" i="1"/>
  <c r="Y53" i="1"/>
  <c r="X53" i="1"/>
  <c r="W53" i="1"/>
  <c r="V53" i="1"/>
  <c r="AO53" i="1" s="1"/>
  <c r="U53" i="1"/>
  <c r="S53" i="1"/>
  <c r="R53" i="1"/>
  <c r="Q53" i="1"/>
  <c r="P53" i="1"/>
  <c r="O53" i="1"/>
  <c r="N53" i="1"/>
  <c r="M53" i="1"/>
  <c r="L53" i="1"/>
  <c r="J53" i="1"/>
  <c r="I53" i="1"/>
  <c r="AM52" i="1"/>
  <c r="AL52" i="1"/>
  <c r="AK52" i="1"/>
  <c r="AJ52" i="1"/>
  <c r="AI52" i="1"/>
  <c r="AH52" i="1"/>
  <c r="AG52" i="1"/>
  <c r="AD52" i="1"/>
  <c r="AC52" i="1"/>
  <c r="AB52" i="1"/>
  <c r="AA52" i="1"/>
  <c r="Z52" i="1"/>
  <c r="Y52" i="1"/>
  <c r="X52" i="1"/>
  <c r="W52" i="1"/>
  <c r="V52" i="1"/>
  <c r="AO52" i="1" s="1"/>
  <c r="U52" i="1"/>
  <c r="S52" i="1"/>
  <c r="R52" i="1"/>
  <c r="Q52" i="1"/>
  <c r="P52" i="1"/>
  <c r="O52" i="1"/>
  <c r="N52" i="1"/>
  <c r="M52" i="1"/>
  <c r="L52" i="1"/>
  <c r="J52" i="1"/>
  <c r="I52" i="1"/>
  <c r="AI51" i="1"/>
  <c r="AF51" i="1"/>
  <c r="AE51" i="1"/>
  <c r="AA51" i="1"/>
  <c r="AO51" i="1" s="1"/>
  <c r="T51" i="1"/>
  <c r="S51" i="1"/>
  <c r="Q51" i="1"/>
  <c r="Q49" i="1" s="1"/>
  <c r="Q48" i="1" s="1"/>
  <c r="P51" i="1"/>
  <c r="O51" i="1"/>
  <c r="K51" i="1"/>
  <c r="AO50" i="1"/>
  <c r="AK50" i="1"/>
  <c r="AJ50" i="1"/>
  <c r="AI50" i="1" s="1"/>
  <c r="AI49" i="1" s="1"/>
  <c r="AI48" i="1" s="1"/>
  <c r="AF50" i="1"/>
  <c r="AE50" i="1" s="1"/>
  <c r="AE49" i="1" s="1"/>
  <c r="AE48" i="1" s="1"/>
  <c r="AA50" i="1"/>
  <c r="AA49" i="1" s="1"/>
  <c r="AA48" i="1" s="1"/>
  <c r="T50" i="1"/>
  <c r="S50" i="1"/>
  <c r="S49" i="1" s="1"/>
  <c r="S48" i="1" s="1"/>
  <c r="Q50" i="1"/>
  <c r="L50" i="1"/>
  <c r="K50" i="1" s="1"/>
  <c r="K49" i="1" s="1"/>
  <c r="K48" i="1" s="1"/>
  <c r="AM49" i="1"/>
  <c r="AL49" i="1"/>
  <c r="AK49" i="1"/>
  <c r="AJ49" i="1"/>
  <c r="AH49" i="1"/>
  <c r="AG49" i="1"/>
  <c r="AD49" i="1"/>
  <c r="AC49" i="1"/>
  <c r="AB49" i="1"/>
  <c r="Z49" i="1"/>
  <c r="Y49" i="1"/>
  <c r="X49" i="1"/>
  <c r="W49" i="1"/>
  <c r="V49" i="1"/>
  <c r="AO49" i="1" s="1"/>
  <c r="U49" i="1"/>
  <c r="T49" i="1"/>
  <c r="R49" i="1"/>
  <c r="N49" i="1"/>
  <c r="M49" i="1"/>
  <c r="J49" i="1"/>
  <c r="I49" i="1"/>
  <c r="AM48" i="1"/>
  <c r="AL48" i="1"/>
  <c r="AK48" i="1"/>
  <c r="AJ48" i="1"/>
  <c r="AH48" i="1"/>
  <c r="AG48" i="1"/>
  <c r="AD48" i="1"/>
  <c r="AC48" i="1"/>
  <c r="AB48" i="1"/>
  <c r="Z48" i="1"/>
  <c r="Y48" i="1"/>
  <c r="X48" i="1"/>
  <c r="W48" i="1"/>
  <c r="V48" i="1"/>
  <c r="U48" i="1"/>
  <c r="T48" i="1"/>
  <c r="R48" i="1"/>
  <c r="N48" i="1"/>
  <c r="M48" i="1"/>
  <c r="J48" i="1"/>
  <c r="I48" i="1"/>
  <c r="AI47" i="1"/>
  <c r="AF47" i="1"/>
  <c r="AE47" i="1" s="1"/>
  <c r="AE46" i="1" s="1"/>
  <c r="AA47" i="1"/>
  <c r="AO47" i="1" s="1"/>
  <c r="T47" i="1"/>
  <c r="T46" i="1" s="1"/>
  <c r="T43" i="1" s="1"/>
  <c r="S47" i="1"/>
  <c r="S46" i="1" s="1"/>
  <c r="S43" i="1" s="1"/>
  <c r="Q47" i="1"/>
  <c r="P47" i="1"/>
  <c r="P46" i="1" s="1"/>
  <c r="P43" i="1" s="1"/>
  <c r="K47" i="1"/>
  <c r="K46" i="1" s="1"/>
  <c r="K43" i="1" s="1"/>
  <c r="AM46" i="1"/>
  <c r="AL46" i="1"/>
  <c r="AK46" i="1"/>
  <c r="AJ46" i="1"/>
  <c r="AI46" i="1"/>
  <c r="AH46" i="1"/>
  <c r="AG46" i="1"/>
  <c r="AD46" i="1"/>
  <c r="AC46" i="1"/>
  <c r="AB46" i="1"/>
  <c r="AA46" i="1"/>
  <c r="Z46" i="1"/>
  <c r="Y46" i="1"/>
  <c r="X46" i="1"/>
  <c r="W46" i="1"/>
  <c r="V46" i="1"/>
  <c r="AO46" i="1" s="1"/>
  <c r="U46" i="1"/>
  <c r="R46" i="1"/>
  <c r="Q46" i="1"/>
  <c r="N46" i="1"/>
  <c r="M46" i="1"/>
  <c r="L46" i="1"/>
  <c r="J46" i="1"/>
  <c r="I46" i="1"/>
  <c r="AO45" i="1"/>
  <c r="AI45" i="1"/>
  <c r="AF45" i="1"/>
  <c r="AF44" i="1" s="1"/>
  <c r="AE45" i="1"/>
  <c r="AE44" i="1" s="1"/>
  <c r="AE43" i="1" s="1"/>
  <c r="AM44" i="1"/>
  <c r="AL44" i="1"/>
  <c r="AK44" i="1"/>
  <c r="AJ44" i="1"/>
  <c r="AI44" i="1"/>
  <c r="AH44" i="1"/>
  <c r="AG44" i="1"/>
  <c r="AD44" i="1"/>
  <c r="AC44" i="1"/>
  <c r="AB44" i="1"/>
  <c r="AA44" i="1"/>
  <c r="Z44" i="1"/>
  <c r="Y44" i="1"/>
  <c r="X44" i="1"/>
  <c r="W44" i="1"/>
  <c r="V44" i="1"/>
  <c r="AO44" i="1" s="1"/>
  <c r="U44" i="1"/>
  <c r="T44" i="1"/>
  <c r="S44" i="1"/>
  <c r="R44" i="1"/>
  <c r="Q44" i="1"/>
  <c r="P44" i="1"/>
  <c r="O44" i="1"/>
  <c r="N44" i="1"/>
  <c r="M44" i="1"/>
  <c r="L44" i="1"/>
  <c r="K44" i="1"/>
  <c r="J44" i="1"/>
  <c r="I44" i="1"/>
  <c r="AM43" i="1"/>
  <c r="AL43" i="1"/>
  <c r="AK43" i="1"/>
  <c r="AJ43" i="1"/>
  <c r="AI43" i="1"/>
  <c r="AH43" i="1"/>
  <c r="AG43" i="1"/>
  <c r="AD43" i="1"/>
  <c r="AC43" i="1"/>
  <c r="AB43" i="1"/>
  <c r="AA43" i="1"/>
  <c r="Z43" i="1"/>
  <c r="Y43" i="1"/>
  <c r="X43" i="1"/>
  <c r="W43" i="1"/>
  <c r="V43" i="1"/>
  <c r="AO43" i="1" s="1"/>
  <c r="U43" i="1"/>
  <c r="R43" i="1"/>
  <c r="Q43" i="1"/>
  <c r="N43" i="1"/>
  <c r="M43" i="1"/>
  <c r="L43" i="1"/>
  <c r="J43" i="1"/>
  <c r="I43" i="1"/>
  <c r="AO42" i="1"/>
  <c r="AI42" i="1"/>
  <c r="AF42" i="1"/>
  <c r="AE42" i="1"/>
  <c r="S42" i="1"/>
  <c r="Q42" i="1"/>
  <c r="P42" i="1"/>
  <c r="O42" i="1"/>
  <c r="K42" i="1"/>
  <c r="AO41" i="1"/>
  <c r="AI41" i="1"/>
  <c r="AF41" i="1"/>
  <c r="AE41" i="1" s="1"/>
  <c r="S41" i="1"/>
  <c r="Q41" i="1"/>
  <c r="P41" i="1"/>
  <c r="O41" i="1" s="1"/>
  <c r="K41" i="1"/>
  <c r="AO40" i="1"/>
  <c r="AI39" i="1"/>
  <c r="AF39" i="1"/>
  <c r="AE39" i="1" s="1"/>
  <c r="AA39" i="1"/>
  <c r="AA35" i="1" s="1"/>
  <c r="T39" i="1"/>
  <c r="S39" i="1"/>
  <c r="Q39" i="1"/>
  <c r="P39" i="1"/>
  <c r="O39" i="1" s="1"/>
  <c r="K39" i="1"/>
  <c r="AO38" i="1"/>
  <c r="AI38" i="1"/>
  <c r="AF38" i="1"/>
  <c r="AE38" i="1"/>
  <c r="T38" i="1" s="1"/>
  <c r="S38" i="1" s="1"/>
  <c r="Q38" i="1"/>
  <c r="L38" i="1"/>
  <c r="K38" i="1" s="1"/>
  <c r="AO37" i="1"/>
  <c r="AI37" i="1"/>
  <c r="AF37" i="1"/>
  <c r="AE37" i="1" s="1"/>
  <c r="T37" i="1" s="1"/>
  <c r="S37" i="1" s="1"/>
  <c r="Q37" i="1"/>
  <c r="K37" i="1"/>
  <c r="AO36" i="1"/>
  <c r="AI36" i="1"/>
  <c r="AI35" i="1" s="1"/>
  <c r="AI31" i="1" s="1"/>
  <c r="AF36" i="1"/>
  <c r="AE36" i="1" s="1"/>
  <c r="Q36" i="1"/>
  <c r="Q35" i="1" s="1"/>
  <c r="Q31" i="1" s="1"/>
  <c r="P36" i="1"/>
  <c r="O36" i="1"/>
  <c r="K36" i="1"/>
  <c r="K35" i="1" s="1"/>
  <c r="K31" i="1" s="1"/>
  <c r="AM35" i="1"/>
  <c r="AL35" i="1"/>
  <c r="AL31" i="1" s="1"/>
  <c r="AK35" i="1"/>
  <c r="AJ35" i="1"/>
  <c r="AJ31" i="1" s="1"/>
  <c r="AH35" i="1"/>
  <c r="AH31" i="1" s="1"/>
  <c r="AG35" i="1"/>
  <c r="AF35" i="1"/>
  <c r="AD35" i="1"/>
  <c r="AD31" i="1" s="1"/>
  <c r="AC35" i="1"/>
  <c r="AB35" i="1"/>
  <c r="AB31" i="1" s="1"/>
  <c r="Z35" i="1"/>
  <c r="Z31" i="1" s="1"/>
  <c r="Y35" i="1"/>
  <c r="X35" i="1"/>
  <c r="X31" i="1" s="1"/>
  <c r="W35" i="1"/>
  <c r="V35" i="1"/>
  <c r="V31" i="1" s="1"/>
  <c r="U35" i="1"/>
  <c r="R35" i="1"/>
  <c r="R31" i="1" s="1"/>
  <c r="N35" i="1"/>
  <c r="N31" i="1" s="1"/>
  <c r="M35" i="1"/>
  <c r="L35" i="1"/>
  <c r="L31" i="1" s="1"/>
  <c r="J35" i="1"/>
  <c r="J31" i="1" s="1"/>
  <c r="I35" i="1"/>
  <c r="AO34" i="1"/>
  <c r="AI34" i="1"/>
  <c r="AE34" i="1"/>
  <c r="AA34" i="1"/>
  <c r="T34" i="1"/>
  <c r="T32" i="1" s="1"/>
  <c r="S34" i="1"/>
  <c r="Q34" i="1"/>
  <c r="K34" i="1"/>
  <c r="AI33" i="1"/>
  <c r="AA33" i="1"/>
  <c r="AF33" i="1" s="1"/>
  <c r="T33" i="1"/>
  <c r="S33" i="1"/>
  <c r="Q33" i="1"/>
  <c r="P33" i="1"/>
  <c r="O33" i="1" s="1"/>
  <c r="O32" i="1" s="1"/>
  <c r="K33" i="1"/>
  <c r="AM32" i="1"/>
  <c r="AL32" i="1"/>
  <c r="AK32" i="1"/>
  <c r="AJ32" i="1"/>
  <c r="AI32" i="1"/>
  <c r="AH32" i="1"/>
  <c r="AG32" i="1"/>
  <c r="AG31" i="1" s="1"/>
  <c r="AD32" i="1"/>
  <c r="AC32" i="1"/>
  <c r="AB32" i="1"/>
  <c r="AA32" i="1"/>
  <c r="AO32" i="1" s="1"/>
  <c r="Z32" i="1"/>
  <c r="Y32" i="1"/>
  <c r="X32" i="1"/>
  <c r="W32" i="1"/>
  <c r="V32" i="1"/>
  <c r="U32" i="1"/>
  <c r="S32" i="1"/>
  <c r="R32" i="1"/>
  <c r="Q32" i="1"/>
  <c r="N32" i="1"/>
  <c r="M32" i="1"/>
  <c r="L32" i="1"/>
  <c r="K32" i="1"/>
  <c r="J32" i="1"/>
  <c r="I32" i="1"/>
  <c r="AM31" i="1"/>
  <c r="AK31" i="1"/>
  <c r="AC31" i="1"/>
  <c r="Y31" i="1"/>
  <c r="W31" i="1"/>
  <c r="U31" i="1"/>
  <c r="M31" i="1"/>
  <c r="I31" i="1"/>
  <c r="AO30" i="1"/>
  <c r="AI30" i="1"/>
  <c r="AI28" i="1" s="1"/>
  <c r="AI27" i="1" s="1"/>
  <c r="AF30" i="1"/>
  <c r="AE30" i="1"/>
  <c r="Q30" i="1"/>
  <c r="O30" i="1"/>
  <c r="O28" i="1" s="1"/>
  <c r="O27" i="1" s="1"/>
  <c r="K30" i="1"/>
  <c r="AO29" i="1"/>
  <c r="AI29" i="1"/>
  <c r="AF29" i="1"/>
  <c r="Q29" i="1"/>
  <c r="Q28" i="1" s="1"/>
  <c r="Q27" i="1" s="1"/>
  <c r="O29" i="1"/>
  <c r="M29" i="1"/>
  <c r="M28" i="1" s="1"/>
  <c r="M27" i="1" s="1"/>
  <c r="K29" i="1"/>
  <c r="AM28" i="1"/>
  <c r="AL28" i="1"/>
  <c r="AL27" i="1" s="1"/>
  <c r="AK28" i="1"/>
  <c r="AJ28" i="1"/>
  <c r="AH28" i="1"/>
  <c r="AG28" i="1"/>
  <c r="AD28" i="1"/>
  <c r="AC28" i="1"/>
  <c r="AB28" i="1"/>
  <c r="AA28" i="1"/>
  <c r="Z28" i="1"/>
  <c r="Y28" i="1"/>
  <c r="X28" i="1"/>
  <c r="W28" i="1"/>
  <c r="V28" i="1"/>
  <c r="AO28" i="1" s="1"/>
  <c r="U28" i="1"/>
  <c r="T28" i="1"/>
  <c r="S28" i="1"/>
  <c r="R28" i="1"/>
  <c r="P28" i="1"/>
  <c r="N28" i="1"/>
  <c r="L28" i="1"/>
  <c r="K28" i="1"/>
  <c r="J28" i="1"/>
  <c r="I28" i="1"/>
  <c r="AM27" i="1"/>
  <c r="AK27" i="1"/>
  <c r="AJ27" i="1"/>
  <c r="AH27" i="1"/>
  <c r="AG27" i="1"/>
  <c r="AD27" i="1"/>
  <c r="AC27" i="1"/>
  <c r="AB27" i="1"/>
  <c r="AA27" i="1"/>
  <c r="Z27" i="1"/>
  <c r="Y27" i="1"/>
  <c r="X27" i="1"/>
  <c r="W27" i="1"/>
  <c r="V27" i="1"/>
  <c r="AO27" i="1" s="1"/>
  <c r="U27" i="1"/>
  <c r="T27" i="1"/>
  <c r="S27" i="1"/>
  <c r="R27" i="1"/>
  <c r="P27" i="1"/>
  <c r="N27" i="1"/>
  <c r="L27" i="1"/>
  <c r="K27" i="1"/>
  <c r="J27" i="1"/>
  <c r="I27" i="1"/>
  <c r="AO26" i="1"/>
  <c r="AL26" i="1"/>
  <c r="AF26" i="1"/>
  <c r="AE26" i="1"/>
  <c r="Q26" i="1"/>
  <c r="P26" i="1"/>
  <c r="O26" i="1"/>
  <c r="K26" i="1"/>
  <c r="AO25" i="1"/>
  <c r="AI25" i="1"/>
  <c r="AF25" i="1"/>
  <c r="AE25" i="1"/>
  <c r="T25" i="1"/>
  <c r="Q25" i="1"/>
  <c r="Q24" i="1" s="1"/>
  <c r="Q23" i="1" s="1"/>
  <c r="P25" i="1"/>
  <c r="P24" i="1" s="1"/>
  <c r="P23" i="1" s="1"/>
  <c r="O25" i="1"/>
  <c r="O24" i="1" s="1"/>
  <c r="O23" i="1" s="1"/>
  <c r="K25" i="1"/>
  <c r="AM24" i="1"/>
  <c r="AL24" i="1"/>
  <c r="AK24" i="1"/>
  <c r="AJ24" i="1"/>
  <c r="AH24" i="1"/>
  <c r="AG24" i="1"/>
  <c r="AF24" i="1"/>
  <c r="AE24" i="1"/>
  <c r="AD24" i="1"/>
  <c r="AC24" i="1"/>
  <c r="AB24" i="1"/>
  <c r="AA24" i="1"/>
  <c r="Z24" i="1"/>
  <c r="Y24" i="1"/>
  <c r="X24" i="1"/>
  <c r="W24" i="1"/>
  <c r="V24" i="1"/>
  <c r="AO24" i="1" s="1"/>
  <c r="U24" i="1"/>
  <c r="R24" i="1"/>
  <c r="R23" i="1" s="1"/>
  <c r="N24" i="1"/>
  <c r="M24" i="1"/>
  <c r="L24" i="1"/>
  <c r="K24" i="1"/>
  <c r="J24" i="1"/>
  <c r="I24" i="1"/>
  <c r="AM23" i="1"/>
  <c r="AL23" i="1"/>
  <c r="AK23" i="1"/>
  <c r="AJ23" i="1"/>
  <c r="AH23" i="1"/>
  <c r="AG23" i="1"/>
  <c r="AF23" i="1"/>
  <c r="AE23" i="1"/>
  <c r="AD23" i="1"/>
  <c r="AC23" i="1"/>
  <c r="AB23" i="1"/>
  <c r="AA23" i="1"/>
  <c r="Z23" i="1"/>
  <c r="Y23" i="1"/>
  <c r="X23" i="1"/>
  <c r="W23" i="1"/>
  <c r="V23" i="1"/>
  <c r="U23" i="1"/>
  <c r="N23" i="1"/>
  <c r="M23" i="1"/>
  <c r="L23" i="1"/>
  <c r="K23" i="1"/>
  <c r="J23" i="1"/>
  <c r="I23" i="1"/>
  <c r="AK22" i="1"/>
  <c r="AK21" i="1" s="1"/>
  <c r="AK20" i="1" s="1"/>
  <c r="AJ22" i="1"/>
  <c r="AA22" i="1"/>
  <c r="T22" i="1"/>
  <c r="S22" i="1"/>
  <c r="Q22" i="1"/>
  <c r="Q21" i="1" s="1"/>
  <c r="Q20" i="1" s="1"/>
  <c r="P22" i="1"/>
  <c r="K22" i="1"/>
  <c r="AM21" i="1"/>
  <c r="AM20" i="1" s="1"/>
  <c r="AM12" i="1" s="1"/>
  <c r="AL21" i="1"/>
  <c r="AH21" i="1"/>
  <c r="AG21" i="1"/>
  <c r="AD21" i="1"/>
  <c r="AC21" i="1"/>
  <c r="AB21" i="1"/>
  <c r="Z21" i="1"/>
  <c r="Y21" i="1"/>
  <c r="X21" i="1"/>
  <c r="W21" i="1"/>
  <c r="V21" i="1"/>
  <c r="U21" i="1"/>
  <c r="T21" i="1"/>
  <c r="S21" i="1"/>
  <c r="R21" i="1"/>
  <c r="N21" i="1"/>
  <c r="M21" i="1"/>
  <c r="L21" i="1"/>
  <c r="K21" i="1"/>
  <c r="K20" i="1" s="1"/>
  <c r="J21" i="1"/>
  <c r="I21" i="1"/>
  <c r="AL20" i="1"/>
  <c r="AH20" i="1"/>
  <c r="AG20" i="1"/>
  <c r="AD20" i="1"/>
  <c r="AC20" i="1"/>
  <c r="AB20" i="1"/>
  <c r="Z20" i="1"/>
  <c r="Y20" i="1"/>
  <c r="X20" i="1"/>
  <c r="W20" i="1"/>
  <c r="W12" i="1" s="1"/>
  <c r="V20" i="1"/>
  <c r="U20" i="1"/>
  <c r="T20" i="1"/>
  <c r="S20" i="1"/>
  <c r="R20" i="1"/>
  <c r="N20" i="1"/>
  <c r="M20" i="1"/>
  <c r="L20" i="1"/>
  <c r="J20" i="1"/>
  <c r="I20" i="1"/>
  <c r="AO19" i="1"/>
  <c r="AI19" i="1"/>
  <c r="AA19" i="1"/>
  <c r="AF19" i="1" s="1"/>
  <c r="AE19" i="1" s="1"/>
  <c r="U19" i="1"/>
  <c r="U14" i="1" s="1"/>
  <c r="U13" i="1" s="1"/>
  <c r="T19" i="1"/>
  <c r="S19" i="1"/>
  <c r="Q19" i="1"/>
  <c r="O19" i="1"/>
  <c r="K19" i="1"/>
  <c r="AI18" i="1"/>
  <c r="AF18" i="1"/>
  <c r="AE18" i="1" s="1"/>
  <c r="AA18" i="1"/>
  <c r="AO18" i="1" s="1"/>
  <c r="T18" i="1"/>
  <c r="S18" i="1"/>
  <c r="Q18" i="1"/>
  <c r="K18" i="1"/>
  <c r="AO17" i="1"/>
  <c r="AI17" i="1"/>
  <c r="AF17" i="1"/>
  <c r="AE17" i="1"/>
  <c r="Q17" i="1"/>
  <c r="P17" i="1"/>
  <c r="O17" i="1" s="1"/>
  <c r="K17" i="1"/>
  <c r="AI16" i="1"/>
  <c r="AA16" i="1"/>
  <c r="AF16" i="1" s="1"/>
  <c r="AE16" i="1" s="1"/>
  <c r="T16" i="1"/>
  <c r="S16" i="1"/>
  <c r="Q16" i="1"/>
  <c r="P16" i="1"/>
  <c r="O16" i="1"/>
  <c r="K16" i="1"/>
  <c r="AI15" i="1"/>
  <c r="AF15" i="1"/>
  <c r="AE15" i="1" s="1"/>
  <c r="AE14" i="1" s="1"/>
  <c r="AE13" i="1" s="1"/>
  <c r="T15" i="1"/>
  <c r="AA15" i="1" s="1"/>
  <c r="S15" i="1"/>
  <c r="S14" i="1" s="1"/>
  <c r="S13" i="1" s="1"/>
  <c r="Q15" i="1"/>
  <c r="K15" i="1"/>
  <c r="K14" i="1" s="1"/>
  <c r="K13" i="1" s="1"/>
  <c r="I15" i="1"/>
  <c r="AM14" i="1"/>
  <c r="AL14" i="1"/>
  <c r="AK14" i="1"/>
  <c r="AJ14" i="1"/>
  <c r="AH14" i="1"/>
  <c r="AG14" i="1"/>
  <c r="AD14" i="1"/>
  <c r="AC14" i="1"/>
  <c r="AB14" i="1"/>
  <c r="AB13" i="1" s="1"/>
  <c r="AB12" i="1" s="1"/>
  <c r="Z14" i="1"/>
  <c r="Y14" i="1"/>
  <c r="X14" i="1"/>
  <c r="W14" i="1"/>
  <c r="V14" i="1"/>
  <c r="T14" i="1"/>
  <c r="R14" i="1"/>
  <c r="Q14" i="1"/>
  <c r="P14" i="1"/>
  <c r="N14" i="1"/>
  <c r="M14" i="1"/>
  <c r="M13" i="1" s="1"/>
  <c r="L14" i="1"/>
  <c r="J14" i="1"/>
  <c r="I14" i="1"/>
  <c r="AM13" i="1"/>
  <c r="AL13" i="1"/>
  <c r="AK13" i="1"/>
  <c r="AJ13" i="1"/>
  <c r="AH13" i="1"/>
  <c r="AG13" i="1"/>
  <c r="AD13" i="1"/>
  <c r="AC13" i="1"/>
  <c r="Z13" i="1"/>
  <c r="Y13" i="1"/>
  <c r="X13" i="1"/>
  <c r="X12" i="1" s="1"/>
  <c r="W13" i="1"/>
  <c r="V13" i="1"/>
  <c r="T13" i="1"/>
  <c r="R13" i="1"/>
  <c r="Q13" i="1"/>
  <c r="P13" i="1"/>
  <c r="N13" i="1"/>
  <c r="L13" i="1"/>
  <c r="J13" i="1"/>
  <c r="I13" i="1"/>
  <c r="AC12" i="1"/>
  <c r="AG11" i="1"/>
  <c r="AB11" i="1"/>
  <c r="Z11" i="1"/>
  <c r="W11" i="1"/>
  <c r="Q11" i="1"/>
  <c r="I11" i="1"/>
  <c r="B11" i="1"/>
  <c r="K11" i="3" l="1"/>
  <c r="J11" i="3"/>
  <c r="R11" i="3"/>
  <c r="Y11" i="3"/>
  <c r="X11" i="3"/>
  <c r="Z16" i="3"/>
  <c r="AE17" i="2"/>
  <c r="AL12" i="2"/>
  <c r="AL11" i="2" s="1"/>
  <c r="M12" i="2"/>
  <c r="M11" i="2" s="1"/>
  <c r="U12" i="2"/>
  <c r="U11" i="2" s="1"/>
  <c r="AC12" i="2"/>
  <c r="AC11" i="2" s="1"/>
  <c r="AN15" i="2"/>
  <c r="AH12" i="2"/>
  <c r="AH11" i="2" s="1"/>
  <c r="AP19" i="2"/>
  <c r="AN20" i="2"/>
  <c r="L12" i="2"/>
  <c r="L11" i="2" s="1"/>
  <c r="P12" i="2"/>
  <c r="T12" i="2"/>
  <c r="T11" i="2" s="1"/>
  <c r="X12" i="2"/>
  <c r="X11" i="2" s="1"/>
  <c r="AB12" i="2"/>
  <c r="AB11" i="2" s="1"/>
  <c r="AN31" i="2"/>
  <c r="AP55" i="2"/>
  <c r="AN56" i="2"/>
  <c r="AP68" i="2"/>
  <c r="AN69" i="2"/>
  <c r="K83" i="2"/>
  <c r="S83" i="2"/>
  <c r="W83" i="2"/>
  <c r="AA83" i="2"/>
  <c r="AN94" i="2"/>
  <c r="AN95" i="2"/>
  <c r="P96" i="2"/>
  <c r="P83" i="2" s="1"/>
  <c r="AN21" i="2"/>
  <c r="AN23" i="2"/>
  <c r="AE27" i="2"/>
  <c r="I12" i="2"/>
  <c r="I11" i="2" s="1"/>
  <c r="Y12" i="2"/>
  <c r="Y11" i="2" s="1"/>
  <c r="AN87" i="2"/>
  <c r="AF89" i="2"/>
  <c r="AF96" i="2"/>
  <c r="AN102" i="2"/>
  <c r="AG11" i="2"/>
  <c r="AN13" i="2"/>
  <c r="K12" i="2"/>
  <c r="O12" i="2"/>
  <c r="S12" i="2"/>
  <c r="S11" i="2" s="1"/>
  <c r="W12" i="2"/>
  <c r="AA12" i="2"/>
  <c r="AA11" i="2" s="1"/>
  <c r="AI22" i="2"/>
  <c r="AJ12" i="2"/>
  <c r="AJ11" i="2" s="1"/>
  <c r="AP62" i="2"/>
  <c r="AE87" i="2"/>
  <c r="AE86" i="2" s="1"/>
  <c r="AI94" i="2"/>
  <c r="AP94" i="2" s="1"/>
  <c r="AP99" i="2"/>
  <c r="M12" i="1"/>
  <c r="AE33" i="1"/>
  <c r="AE32" i="1" s="1"/>
  <c r="AF32" i="1"/>
  <c r="AF31" i="1" s="1"/>
  <c r="AO23" i="1"/>
  <c r="Z12" i="1"/>
  <c r="AO31" i="1"/>
  <c r="AL12" i="1"/>
  <c r="AE35" i="1"/>
  <c r="T36" i="1"/>
  <c r="O22" i="1"/>
  <c r="O21" i="1" s="1"/>
  <c r="O20" i="1" s="1"/>
  <c r="P21" i="1"/>
  <c r="P20" i="1" s="1"/>
  <c r="AO22" i="1"/>
  <c r="AF22" i="1"/>
  <c r="AI26" i="1"/>
  <c r="AI24" i="1" s="1"/>
  <c r="AI23" i="1" s="1"/>
  <c r="AP26" i="1"/>
  <c r="AE29" i="1"/>
  <c r="AE28" i="1" s="1"/>
  <c r="AE27" i="1" s="1"/>
  <c r="AF28" i="1"/>
  <c r="AF27" i="1" s="1"/>
  <c r="AI14" i="1"/>
  <c r="AI13" i="1" s="1"/>
  <c r="AF14" i="1"/>
  <c r="AF13" i="1" s="1"/>
  <c r="AA14" i="1"/>
  <c r="AO15" i="1"/>
  <c r="O14" i="1"/>
  <c r="O13" i="1" s="1"/>
  <c r="AA21" i="1"/>
  <c r="AI22" i="1"/>
  <c r="AI21" i="1" s="1"/>
  <c r="AI20" i="1" s="1"/>
  <c r="AJ21" i="1"/>
  <c r="AJ20" i="1" s="1"/>
  <c r="AJ12" i="1" s="1"/>
  <c r="AP11" i="1" s="1"/>
  <c r="S25" i="1"/>
  <c r="S24" i="1" s="1"/>
  <c r="S23" i="1" s="1"/>
  <c r="T24" i="1"/>
  <c r="T23" i="1" s="1"/>
  <c r="AA31" i="1"/>
  <c r="AO35" i="1"/>
  <c r="AO48" i="1"/>
  <c r="P32" i="1"/>
  <c r="O47" i="1"/>
  <c r="O46" i="1" s="1"/>
  <c r="O43" i="1" s="1"/>
  <c r="AE54" i="1"/>
  <c r="AF56" i="1"/>
  <c r="K72" i="1"/>
  <c r="L70" i="1"/>
  <c r="L69" i="1" s="1"/>
  <c r="T70" i="1"/>
  <c r="T69" i="1" s="1"/>
  <c r="O73" i="1"/>
  <c r="AF73" i="1"/>
  <c r="AE73" i="1" s="1"/>
  <c r="AA70" i="1"/>
  <c r="AA69" i="1" s="1"/>
  <c r="K74" i="1"/>
  <c r="P74" i="1"/>
  <c r="O74" i="1" s="1"/>
  <c r="AI93" i="1"/>
  <c r="AI92" i="1" s="1"/>
  <c r="AI91" i="1" s="1"/>
  <c r="AF102" i="1"/>
  <c r="AE102" i="1" s="1"/>
  <c r="N94" i="1"/>
  <c r="N12" i="1" s="1"/>
  <c r="U94" i="1"/>
  <c r="U12" i="1" s="1"/>
  <c r="Y94" i="1"/>
  <c r="Y12" i="1" s="1"/>
  <c r="AD94" i="1"/>
  <c r="AD12" i="1" s="1"/>
  <c r="AK94" i="1"/>
  <c r="AK12" i="1" s="1"/>
  <c r="AQ12" i="1" s="1"/>
  <c r="O128" i="1"/>
  <c r="O126" i="1" s="1"/>
  <c r="O94" i="1" s="1"/>
  <c r="P126" i="1"/>
  <c r="Q153" i="1"/>
  <c r="Q94" i="1" s="1"/>
  <c r="Q12" i="1" s="1"/>
  <c r="AP13" i="2"/>
  <c r="AP18" i="2"/>
  <c r="AN18" i="2"/>
  <c r="AE25" i="2"/>
  <c r="AE22" i="2" s="1"/>
  <c r="AF22" i="2"/>
  <c r="AP30" i="2"/>
  <c r="AN30" i="2"/>
  <c r="AI27" i="2"/>
  <c r="AP27" i="2" s="1"/>
  <c r="AP49" i="2"/>
  <c r="AN49" i="2"/>
  <c r="AI48" i="2"/>
  <c r="S14" i="3"/>
  <c r="Q14" i="3" s="1"/>
  <c r="Q12" i="3" s="1"/>
  <c r="Q11" i="3" s="1"/>
  <c r="V14" i="3"/>
  <c r="T12" i="3"/>
  <c r="T11" i="3" s="1"/>
  <c r="AO33" i="1"/>
  <c r="AE115" i="1"/>
  <c r="AF113" i="1"/>
  <c r="K127" i="1"/>
  <c r="K126" i="1" s="1"/>
  <c r="L126" i="1"/>
  <c r="K137" i="1"/>
  <c r="L134" i="1"/>
  <c r="AK50" i="2"/>
  <c r="AP51" i="2"/>
  <c r="AN51" i="2"/>
  <c r="U18" i="4"/>
  <c r="T19" i="4"/>
  <c r="T18" i="4" s="1"/>
  <c r="P12" i="7"/>
  <c r="V11" i="7"/>
  <c r="P38" i="1"/>
  <c r="L49" i="1"/>
  <c r="L48" i="1" s="1"/>
  <c r="AF49" i="1"/>
  <c r="AF48" i="1" s="1"/>
  <c r="P50" i="1"/>
  <c r="K55" i="1"/>
  <c r="AO58" i="1"/>
  <c r="K61" i="1"/>
  <c r="S64" i="1"/>
  <c r="AE71" i="1"/>
  <c r="AA95" i="1"/>
  <c r="AO105" i="1"/>
  <c r="I94" i="1"/>
  <c r="I12" i="1" s="1"/>
  <c r="V94" i="1"/>
  <c r="AG94" i="1"/>
  <c r="AG12" i="1" s="1"/>
  <c r="AE135" i="1"/>
  <c r="AE134" i="1" s="1"/>
  <c r="AF134" i="1"/>
  <c r="O140" i="1"/>
  <c r="O139" i="1" s="1"/>
  <c r="P139" i="1"/>
  <c r="AP45" i="2"/>
  <c r="AN45" i="2"/>
  <c r="AE47" i="2"/>
  <c r="AE46" i="2" s="1"/>
  <c r="AF46" i="2"/>
  <c r="AE93" i="2"/>
  <c r="AE91" i="2" s="1"/>
  <c r="AF91" i="2"/>
  <c r="AO39" i="1"/>
  <c r="AE113" i="1"/>
  <c r="AE60" i="2"/>
  <c r="AE58" i="2" s="1"/>
  <c r="AF58" i="2"/>
  <c r="AO16" i="1"/>
  <c r="AF46" i="1"/>
  <c r="AF43" i="1" s="1"/>
  <c r="V55" i="1"/>
  <c r="P57" i="1"/>
  <c r="L56" i="1"/>
  <c r="L55" i="1" s="1"/>
  <c r="K70" i="1"/>
  <c r="K69" i="1" s="1"/>
  <c r="AI70" i="1"/>
  <c r="AI69" i="1" s="1"/>
  <c r="AO73" i="1"/>
  <c r="AF74" i="1"/>
  <c r="AE74" i="1" s="1"/>
  <c r="AO74" i="1"/>
  <c r="V70" i="1"/>
  <c r="AO88" i="1"/>
  <c r="AO89" i="1"/>
  <c r="AI89" i="1"/>
  <c r="AI88" i="1" s="1"/>
  <c r="M94" i="1"/>
  <c r="AE96" i="1"/>
  <c r="AE95" i="1" s="1"/>
  <c r="AF95" i="1"/>
  <c r="AF106" i="1"/>
  <c r="AE106" i="1" s="1"/>
  <c r="AO107" i="1"/>
  <c r="J94" i="1"/>
  <c r="R94" i="1"/>
  <c r="R12" i="1" s="1"/>
  <c r="AH94" i="1"/>
  <c r="AH12" i="1" s="1"/>
  <c r="K116" i="1"/>
  <c r="K113" i="1" s="1"/>
  <c r="K94" i="1" s="1"/>
  <c r="L113" i="1"/>
  <c r="AE118" i="1"/>
  <c r="AE117" i="1" s="1"/>
  <c r="AF117" i="1"/>
  <c r="K122" i="1"/>
  <c r="K121" i="1" s="1"/>
  <c r="L121" i="1"/>
  <c r="AF122" i="1"/>
  <c r="AA121" i="1"/>
  <c r="AO121" i="1" s="1"/>
  <c r="AI126" i="1"/>
  <c r="AI94" i="1" s="1"/>
  <c r="K134" i="1"/>
  <c r="AI134" i="1"/>
  <c r="AO141" i="1"/>
  <c r="K143" i="1"/>
  <c r="AF144" i="1"/>
  <c r="AA143" i="1"/>
  <c r="AO143" i="1" s="1"/>
  <c r="AE152" i="1"/>
  <c r="AE151" i="1" s="1"/>
  <c r="AF151" i="1"/>
  <c r="J12" i="2"/>
  <c r="J11" i="2" s="1"/>
  <c r="N12" i="2"/>
  <c r="N11" i="2" s="1"/>
  <c r="R12" i="2"/>
  <c r="R11" i="2" s="1"/>
  <c r="V12" i="2"/>
  <c r="V11" i="2" s="1"/>
  <c r="Z12" i="2"/>
  <c r="Z11" i="2" s="1"/>
  <c r="AD12" i="2"/>
  <c r="AD11" i="2" s="1"/>
  <c r="AI17" i="2"/>
  <c r="AE42" i="2"/>
  <c r="AE41" i="2" s="1"/>
  <c r="AF41" i="2"/>
  <c r="AK83" i="2"/>
  <c r="AA56" i="1"/>
  <c r="AF63" i="1"/>
  <c r="AE63" i="1" s="1"/>
  <c r="J70" i="1"/>
  <c r="J69" i="1" s="1"/>
  <c r="J12" i="1" s="1"/>
  <c r="AO72" i="1"/>
  <c r="AF82" i="1"/>
  <c r="AF89" i="1"/>
  <c r="AF88" i="1" s="1"/>
  <c r="P95" i="1"/>
  <c r="P94" i="1" s="1"/>
  <c r="T95" i="1"/>
  <c r="T94" i="1" s="1"/>
  <c r="AA109" i="1"/>
  <c r="AO109" i="1" s="1"/>
  <c r="AF112" i="1"/>
  <c r="AO137" i="1"/>
  <c r="AF139" i="1"/>
  <c r="AF142" i="1"/>
  <c r="AF147" i="1"/>
  <c r="AF156" i="1"/>
  <c r="AP15" i="2"/>
  <c r="AF17" i="2"/>
  <c r="AN27" i="2"/>
  <c r="AI33" i="2"/>
  <c r="AI41" i="2"/>
  <c r="AP41" i="2" s="1"/>
  <c r="AP44" i="2"/>
  <c r="AP46" i="2"/>
  <c r="AE52" i="2"/>
  <c r="AE50" i="2" s="1"/>
  <c r="AF50" i="2"/>
  <c r="AP57" i="2"/>
  <c r="AN57" i="2"/>
  <c r="AI50" i="2"/>
  <c r="AP64" i="2"/>
  <c r="AN64" i="2"/>
  <c r="AP72" i="2"/>
  <c r="AN72" i="2"/>
  <c r="AI71" i="2"/>
  <c r="AE79" i="2"/>
  <c r="AE77" i="2" s="1"/>
  <c r="AF77" i="2"/>
  <c r="AE85" i="2"/>
  <c r="AE84" i="2" s="1"/>
  <c r="AF84" i="2"/>
  <c r="AP88" i="2"/>
  <c r="AN88" i="2"/>
  <c r="AP90" i="2"/>
  <c r="AN90" i="2"/>
  <c r="AI89" i="2"/>
  <c r="P22" i="4"/>
  <c r="O23" i="4"/>
  <c r="O22" i="4" s="1"/>
  <c r="AF126" i="1"/>
  <c r="AP24" i="2"/>
  <c r="AN24" i="2"/>
  <c r="AN29" i="2"/>
  <c r="AF33" i="2"/>
  <c r="AP36" i="2"/>
  <c r="AN36" i="2"/>
  <c r="AE38" i="2"/>
  <c r="AE37" i="2" s="1"/>
  <c r="AF37" i="2"/>
  <c r="AP39" i="2"/>
  <c r="AN39" i="2"/>
  <c r="AI37" i="2"/>
  <c r="AP37" i="2" s="1"/>
  <c r="AN41" i="2"/>
  <c r="AN44" i="2"/>
  <c r="AE67" i="2"/>
  <c r="AE66" i="2" s="1"/>
  <c r="AF66" i="2"/>
  <c r="AE73" i="2"/>
  <c r="AE71" i="2" s="1"/>
  <c r="AF71" i="2"/>
  <c r="Z11" i="3"/>
  <c r="AS5" i="4"/>
  <c r="AO5" i="4"/>
  <c r="AK5" i="4"/>
  <c r="AG5" i="4"/>
  <c r="AQ4" i="4"/>
  <c r="AM4" i="4"/>
  <c r="AI4" i="4"/>
  <c r="AE4" i="4"/>
  <c r="AN5" i="4"/>
  <c r="AJ5" i="4"/>
  <c r="AP4" i="4"/>
  <c r="AL4" i="4"/>
  <c r="AH4" i="4"/>
  <c r="AD4" i="4"/>
  <c r="AQ5" i="4"/>
  <c r="AM5" i="4"/>
  <c r="AI5" i="4"/>
  <c r="AE5" i="4"/>
  <c r="AS4" i="4"/>
  <c r="AO4" i="4"/>
  <c r="AK4" i="4"/>
  <c r="AG4" i="4"/>
  <c r="AC4" i="4"/>
  <c r="AP5" i="4"/>
  <c r="AR4" i="4"/>
  <c r="AL5" i="4"/>
  <c r="AN4" i="4"/>
  <c r="AH5" i="4"/>
  <c r="AJ4" i="4"/>
  <c r="AP59" i="2"/>
  <c r="AN59" i="2"/>
  <c r="AI58" i="2"/>
  <c r="AP70" i="2"/>
  <c r="AN70" i="2"/>
  <c r="AP76" i="2"/>
  <c r="AN76" i="2"/>
  <c r="AP80" i="2"/>
  <c r="AN80" i="2"/>
  <c r="AI77" i="2"/>
  <c r="AP92" i="2"/>
  <c r="AN92" i="2"/>
  <c r="AI91" i="2"/>
  <c r="AP101" i="2"/>
  <c r="AN101" i="2"/>
  <c r="H10" i="4"/>
  <c r="G11" i="4"/>
  <c r="G10" i="4" s="1"/>
  <c r="Q16" i="4"/>
  <c r="P16" i="4" s="1"/>
  <c r="O16" i="4" s="1"/>
  <c r="U16" i="4"/>
  <c r="T16" i="4" s="1"/>
  <c r="M10" i="4"/>
  <c r="W10" i="4"/>
  <c r="P34" i="4"/>
  <c r="Q33" i="4"/>
  <c r="O58" i="4"/>
  <c r="AN52" i="2"/>
  <c r="AN60" i="2"/>
  <c r="AN65" i="2"/>
  <c r="AI66" i="2"/>
  <c r="AP66" i="2" s="1"/>
  <c r="AN67" i="2"/>
  <c r="AN73" i="2"/>
  <c r="AN79" i="2"/>
  <c r="AI84" i="2"/>
  <c r="AN85" i="2"/>
  <c r="AN93" i="2"/>
  <c r="S12" i="3"/>
  <c r="S11" i="3" s="1"/>
  <c r="W11" i="3"/>
  <c r="T14" i="4"/>
  <c r="T11" i="4" s="1"/>
  <c r="U11" i="4"/>
  <c r="AF5" i="4"/>
  <c r="Q17" i="4"/>
  <c r="P17" i="4" s="1"/>
  <c r="O17" i="4" s="1"/>
  <c r="AZ17" i="4"/>
  <c r="Q28" i="4"/>
  <c r="O38" i="4"/>
  <c r="P37" i="4"/>
  <c r="AZ40" i="4"/>
  <c r="J37" i="4"/>
  <c r="AZ37" i="4" s="1"/>
  <c r="P40" i="4"/>
  <c r="O40" i="4" s="1"/>
  <c r="J53" i="4"/>
  <c r="K52" i="4"/>
  <c r="Q53" i="4"/>
  <c r="G57" i="4"/>
  <c r="R12" i="6"/>
  <c r="R11" i="6" s="1"/>
  <c r="O96" i="2"/>
  <c r="O83" i="2" s="1"/>
  <c r="O11" i="2" s="1"/>
  <c r="AP97" i="2"/>
  <c r="AI96" i="2"/>
  <c r="AP96" i="2" s="1"/>
  <c r="AN97" i="2"/>
  <c r="Q12" i="4"/>
  <c r="K11" i="4"/>
  <c r="P29" i="4"/>
  <c r="J33" i="4"/>
  <c r="AZ34" i="4"/>
  <c r="O45" i="4"/>
  <c r="Q67" i="4"/>
  <c r="P67" i="4" s="1"/>
  <c r="O67" i="4" s="1"/>
  <c r="J67" i="4"/>
  <c r="AZ67" i="4" s="1"/>
  <c r="AK26" i="5"/>
  <c r="Y11" i="7" s="1"/>
  <c r="AL16" i="5"/>
  <c r="AT16" i="5" s="1"/>
  <c r="U28" i="5"/>
  <c r="U26" i="5" s="1"/>
  <c r="U16" i="5" s="1"/>
  <c r="Z28" i="5"/>
  <c r="W26" i="5"/>
  <c r="W16" i="5" s="1"/>
  <c r="AE98" i="2"/>
  <c r="AE96" i="2" s="1"/>
  <c r="Q14" i="4"/>
  <c r="P14" i="4" s="1"/>
  <c r="O14" i="4" s="1"/>
  <c r="K18" i="4"/>
  <c r="Q19" i="4"/>
  <c r="K28" i="4"/>
  <c r="Q38" i="4"/>
  <c r="Q37" i="4" s="1"/>
  <c r="Q48" i="4"/>
  <c r="K44" i="4"/>
  <c r="T49" i="4"/>
  <c r="M51" i="4"/>
  <c r="M44" i="4" s="1"/>
  <c r="J61" i="4"/>
  <c r="AZ61" i="4" s="1"/>
  <c r="AZ62" i="4"/>
  <c r="Q66" i="4"/>
  <c r="J66" i="4"/>
  <c r="K65" i="4"/>
  <c r="T80" i="4"/>
  <c r="T12" i="6"/>
  <c r="T11" i="6" s="1"/>
  <c r="Q69" i="4"/>
  <c r="P69" i="4" s="1"/>
  <c r="O69" i="4" s="1"/>
  <c r="J69" i="4"/>
  <c r="AZ69" i="4" s="1"/>
  <c r="U69" i="4"/>
  <c r="AF16" i="5"/>
  <c r="L19" i="6"/>
  <c r="L12" i="6" s="1"/>
  <c r="L11" i="6" s="1"/>
  <c r="R19" i="6"/>
  <c r="Q19" i="6" s="1"/>
  <c r="T44" i="4"/>
  <c r="K59" i="4"/>
  <c r="L57" i="4"/>
  <c r="L10" i="4" s="1"/>
  <c r="P62" i="4"/>
  <c r="Q61" i="4"/>
  <c r="Q68" i="4"/>
  <c r="P68" i="4" s="1"/>
  <c r="O68" i="4" s="1"/>
  <c r="J68" i="4"/>
  <c r="AZ68" i="4" s="1"/>
  <c r="K73" i="4"/>
  <c r="J73" i="4"/>
  <c r="L71" i="4"/>
  <c r="Q76" i="4"/>
  <c r="J76" i="4"/>
  <c r="K75" i="4"/>
  <c r="AB75" i="4" s="1"/>
  <c r="L27" i="5"/>
  <c r="L26" i="5" s="1"/>
  <c r="L16" i="5" s="1"/>
  <c r="O26" i="5"/>
  <c r="O16" i="5" s="1"/>
  <c r="Q12" i="6"/>
  <c r="Q11" i="6" s="1"/>
  <c r="E13" i="7"/>
  <c r="D13" i="7" s="1"/>
  <c r="D11" i="7" s="1"/>
  <c r="G11" i="7"/>
  <c r="W11" i="7" s="1"/>
  <c r="Z14" i="6"/>
  <c r="Z17" i="6"/>
  <c r="J78" i="4"/>
  <c r="AZ78" i="4" s="1"/>
  <c r="N12" i="6"/>
  <c r="N11" i="6" s="1"/>
  <c r="Z11" i="6" s="1"/>
  <c r="AN37" i="2" l="1"/>
  <c r="AN22" i="2"/>
  <c r="AP22" i="2"/>
  <c r="P11" i="2"/>
  <c r="AF83" i="2"/>
  <c r="K11" i="2"/>
  <c r="AE12" i="2"/>
  <c r="AP50" i="2"/>
  <c r="W11" i="2"/>
  <c r="K12" i="1"/>
  <c r="U65" i="4"/>
  <c r="T69" i="4"/>
  <c r="T65" i="4" s="1"/>
  <c r="P48" i="4"/>
  <c r="Q44" i="4"/>
  <c r="AB4" i="4"/>
  <c r="AN33" i="2"/>
  <c r="AP33" i="2"/>
  <c r="AF153" i="1"/>
  <c r="AE156" i="1"/>
  <c r="AE153" i="1" s="1"/>
  <c r="AN50" i="2"/>
  <c r="AE53" i="1"/>
  <c r="AE52" i="1" s="1"/>
  <c r="T54" i="1"/>
  <c r="T53" i="1" s="1"/>
  <c r="T52" i="1" s="1"/>
  <c r="AE31" i="1"/>
  <c r="Q59" i="4"/>
  <c r="J59" i="4"/>
  <c r="U59" i="4"/>
  <c r="K57" i="4"/>
  <c r="K10" i="4" s="1"/>
  <c r="J65" i="4"/>
  <c r="AZ65" i="4" s="1"/>
  <c r="AZ66" i="4"/>
  <c r="AZ33" i="4"/>
  <c r="P12" i="4"/>
  <c r="Q11" i="4"/>
  <c r="O37" i="4"/>
  <c r="AP84" i="2"/>
  <c r="AI83" i="2"/>
  <c r="AP83" i="2" s="1"/>
  <c r="E11" i="7"/>
  <c r="AP89" i="2"/>
  <c r="AN89" i="2"/>
  <c r="AN66" i="2"/>
  <c r="AF109" i="1"/>
  <c r="AE112" i="1"/>
  <c r="AE109" i="1" s="1"/>
  <c r="AE94" i="1" s="1"/>
  <c r="AN84" i="2"/>
  <c r="AP17" i="2"/>
  <c r="AN17" i="2"/>
  <c r="AO70" i="1"/>
  <c r="V69" i="1"/>
  <c r="AO69" i="1" s="1"/>
  <c r="AA94" i="1"/>
  <c r="P49" i="1"/>
  <c r="P48" i="1" s="1"/>
  <c r="O50" i="1"/>
  <c r="O49" i="1" s="1"/>
  <c r="O48" i="1" s="1"/>
  <c r="P70" i="1"/>
  <c r="P69" i="1" s="1"/>
  <c r="AI12" i="1"/>
  <c r="AE22" i="1"/>
  <c r="AE21" i="1" s="1"/>
  <c r="AE20" i="1" s="1"/>
  <c r="AF21" i="1"/>
  <c r="AF20" i="1" s="1"/>
  <c r="V12" i="1"/>
  <c r="Q75" i="4"/>
  <c r="P76" i="4"/>
  <c r="X28" i="5"/>
  <c r="X26" i="5" s="1"/>
  <c r="X16" i="5" s="1"/>
  <c r="Z26" i="5"/>
  <c r="Z16" i="5" s="1"/>
  <c r="P56" i="1"/>
  <c r="P55" i="1" s="1"/>
  <c r="O57" i="1"/>
  <c r="O56" i="1" s="1"/>
  <c r="O55" i="1" s="1"/>
  <c r="S61" i="1"/>
  <c r="S55" i="1" s="1"/>
  <c r="AA64" i="1"/>
  <c r="O38" i="1"/>
  <c r="O35" i="1" s="1"/>
  <c r="O31" i="1" s="1"/>
  <c r="O12" i="1" s="1"/>
  <c r="P35" i="1"/>
  <c r="U14" i="3"/>
  <c r="U12" i="3" s="1"/>
  <c r="U11" i="3" s="1"/>
  <c r="V12" i="3"/>
  <c r="V11" i="3" s="1"/>
  <c r="AI12" i="2"/>
  <c r="AZ73" i="4"/>
  <c r="J71" i="4"/>
  <c r="AZ71" i="4" s="1"/>
  <c r="P66" i="4"/>
  <c r="Q65" i="4"/>
  <c r="O29" i="4"/>
  <c r="O28" i="4" s="1"/>
  <c r="P28" i="4"/>
  <c r="P53" i="4"/>
  <c r="Q52" i="4"/>
  <c r="AK16" i="5"/>
  <c r="O34" i="4"/>
  <c r="O33" i="4" s="1"/>
  <c r="P33" i="4"/>
  <c r="AP58" i="2"/>
  <c r="AN58" i="2"/>
  <c r="AP71" i="2"/>
  <c r="AN71" i="2"/>
  <c r="AF12" i="2"/>
  <c r="AF11" i="2" s="1"/>
  <c r="AF141" i="1"/>
  <c r="AE142" i="1"/>
  <c r="AE141" i="1" s="1"/>
  <c r="AE82" i="1"/>
  <c r="AE81" i="1" s="1"/>
  <c r="AE80" i="1" s="1"/>
  <c r="AF81" i="1"/>
  <c r="AF80" i="1" s="1"/>
  <c r="AF121" i="1"/>
  <c r="AF94" i="1" s="1"/>
  <c r="AE122" i="1"/>
  <c r="AE121" i="1" s="1"/>
  <c r="AO94" i="1"/>
  <c r="AF70" i="1"/>
  <c r="AF69" i="1" s="1"/>
  <c r="AP48" i="2"/>
  <c r="AN48" i="2"/>
  <c r="AK12" i="2"/>
  <c r="O70" i="1"/>
  <c r="O69" i="1" s="1"/>
  <c r="P31" i="1"/>
  <c r="AA13" i="1"/>
  <c r="AO14" i="1"/>
  <c r="AZ53" i="4"/>
  <c r="J52" i="4"/>
  <c r="AZ52" i="4" s="1"/>
  <c r="AP91" i="2"/>
  <c r="AN91" i="2"/>
  <c r="AZ76" i="4"/>
  <c r="J75" i="4"/>
  <c r="AZ75" i="4" s="1"/>
  <c r="Q73" i="4"/>
  <c r="K71" i="4"/>
  <c r="O62" i="4"/>
  <c r="O61" i="4" s="1"/>
  <c r="P61" i="4"/>
  <c r="Q18" i="4"/>
  <c r="P19" i="4"/>
  <c r="AR5" i="4"/>
  <c r="AN96" i="2"/>
  <c r="AP77" i="2"/>
  <c r="AN77" i="2"/>
  <c r="AC5" i="4"/>
  <c r="AB5" i="4" s="1"/>
  <c r="AB6" i="4" s="1"/>
  <c r="AE83" i="2"/>
  <c r="AE11" i="2" s="1"/>
  <c r="AF143" i="1"/>
  <c r="AE144" i="1"/>
  <c r="AE143" i="1" s="1"/>
  <c r="L94" i="1"/>
  <c r="L12" i="1" s="1"/>
  <c r="AO56" i="1"/>
  <c r="AE70" i="1"/>
  <c r="AE69" i="1" s="1"/>
  <c r="AO95" i="1"/>
  <c r="AO21" i="1"/>
  <c r="AA20" i="1"/>
  <c r="AO20" i="1" s="1"/>
  <c r="T35" i="1"/>
  <c r="T31" i="1" s="1"/>
  <c r="T12" i="1" s="1"/>
  <c r="S36" i="1"/>
  <c r="S35" i="1" s="1"/>
  <c r="S31" i="1" s="1"/>
  <c r="S12" i="1" s="1"/>
  <c r="AN83" i="2" l="1"/>
  <c r="O53" i="4"/>
  <c r="O52" i="4" s="1"/>
  <c r="P52" i="4"/>
  <c r="AP12" i="2"/>
  <c r="AI11" i="2"/>
  <c r="P75" i="4"/>
  <c r="O76" i="4"/>
  <c r="O75" i="4" s="1"/>
  <c r="U57" i="4"/>
  <c r="U10" i="4" s="1"/>
  <c r="T59" i="4"/>
  <c r="T57" i="4" s="1"/>
  <c r="T10" i="4" s="1"/>
  <c r="O48" i="4"/>
  <c r="O44" i="4" s="1"/>
  <c r="P44" i="4"/>
  <c r="AO13" i="1"/>
  <c r="AN12" i="2"/>
  <c r="AK11" i="2"/>
  <c r="O66" i="4"/>
  <c r="O65" i="4" s="1"/>
  <c r="P65" i="4"/>
  <c r="AA61" i="1"/>
  <c r="AF64" i="1"/>
  <c r="AO64" i="1"/>
  <c r="U11" i="7"/>
  <c r="O12" i="7"/>
  <c r="N12" i="7" s="1"/>
  <c r="AZ59" i="4"/>
  <c r="J57" i="4"/>
  <c r="AZ57" i="4" s="1"/>
  <c r="P12" i="1"/>
  <c r="O12" i="4"/>
  <c r="O11" i="4" s="1"/>
  <c r="P11" i="4"/>
  <c r="P59" i="4"/>
  <c r="Q57" i="4"/>
  <c r="Q10" i="4" s="1"/>
  <c r="Q71" i="4"/>
  <c r="P73" i="4"/>
  <c r="O19" i="4"/>
  <c r="O18" i="4" s="1"/>
  <c r="P18" i="4"/>
  <c r="J10" i="4"/>
  <c r="AP11" i="2" l="1"/>
  <c r="O59" i="4"/>
  <c r="O57" i="4" s="1"/>
  <c r="P57" i="4"/>
  <c r="AO61" i="1"/>
  <c r="AA55" i="1"/>
  <c r="AE64" i="1"/>
  <c r="AE61" i="1" s="1"/>
  <c r="AE55" i="1" s="1"/>
  <c r="AE12" i="1" s="1"/>
  <c r="AF61" i="1"/>
  <c r="AF55" i="1" s="1"/>
  <c r="AF12" i="1" s="1"/>
  <c r="O73" i="4"/>
  <c r="O71" i="4" s="1"/>
  <c r="O10" i="4" s="1"/>
  <c r="P71" i="4"/>
  <c r="P10" i="4"/>
  <c r="AO55" i="1" l="1"/>
  <c r="AA12" i="1"/>
  <c r="AO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Microsoft Office User</author>
  </authors>
  <commentList>
    <comment ref="G27" authorId="0" shapeId="0" xr:uid="{D211EAF6-954E-46E7-8633-906BA45A00A0}">
      <text>
        <r>
          <rPr>
            <b/>
            <sz val="9"/>
            <color rgb="FF000000"/>
            <rFont val="Tahoma"/>
            <family val="2"/>
          </rPr>
          <t>Admin:</t>
        </r>
        <r>
          <rPr>
            <sz val="9"/>
            <color rgb="FF000000"/>
            <rFont val="Tahoma"/>
            <family val="2"/>
          </rPr>
          <t xml:space="preserve">
</t>
        </r>
        <r>
          <rPr>
            <sz val="9"/>
            <color rgb="FF000000"/>
            <rFont val="Tahoma"/>
            <family val="2"/>
          </rPr>
          <t xml:space="preserve">Xin gia hạn 30/6/2024
</t>
        </r>
      </text>
    </comment>
    <comment ref="AB27" authorId="0" shapeId="0" xr:uid="{27402CF1-B523-4C2B-A6F3-649515FA8C93}">
      <text>
        <r>
          <rPr>
            <b/>
            <sz val="9"/>
            <color rgb="FF000000"/>
            <rFont val="Tahoma"/>
            <family val="2"/>
          </rPr>
          <t>Admin:</t>
        </r>
        <r>
          <rPr>
            <sz val="9"/>
            <color rgb="FF000000"/>
            <rFont val="Tahoma"/>
            <family val="2"/>
          </rPr>
          <t xml:space="preserve">
</t>
        </r>
        <r>
          <rPr>
            <sz val="9"/>
            <color rgb="FF000000"/>
            <rFont val="Tahoma"/>
            <family val="2"/>
          </rPr>
          <t>Vốn đối ứng nguồn NSĐP</t>
        </r>
      </text>
    </comment>
    <comment ref="AG27" authorId="0" shapeId="0" xr:uid="{7D4E0233-E8B3-4631-BAA0-43E704203BEA}">
      <text>
        <r>
          <rPr>
            <b/>
            <sz val="9"/>
            <color rgb="FF000000"/>
            <rFont val="Tahoma"/>
            <family val="2"/>
          </rPr>
          <t>Admin:</t>
        </r>
        <r>
          <rPr>
            <sz val="9"/>
            <color rgb="FF000000"/>
            <rFont val="Tahoma"/>
            <family val="2"/>
          </rPr>
          <t xml:space="preserve">
</t>
        </r>
        <r>
          <rPr>
            <sz val="9"/>
            <color rgb="FF000000"/>
            <rFont val="Tahoma"/>
            <family val="2"/>
          </rPr>
          <t>Vốn đối ứng nguồn NSĐP</t>
        </r>
      </text>
    </comment>
    <comment ref="AJ27" authorId="1" shapeId="0" xr:uid="{75170AC0-8D13-48E7-8FD7-D8D1A510F22D}">
      <text>
        <r>
          <rPr>
            <b/>
            <sz val="10"/>
            <color rgb="FF000000"/>
            <rFont val="Tahoma"/>
            <family val="2"/>
          </rPr>
          <t>ke hoach von duoc giao n2021,2022, 2023</t>
        </r>
        <r>
          <rPr>
            <sz val="10"/>
            <color rgb="FF000000"/>
            <rFont val="Tahoma"/>
            <family val="2"/>
          </rPr>
          <t xml:space="preserve">
</t>
        </r>
        <r>
          <rPr>
            <sz val="10"/>
            <color rgb="FF000000"/>
            <rFont val="Tahoma"/>
            <family val="2"/>
          </rPr>
          <t>'=140688+108351+47000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FPT-Pc</author>
  </authors>
  <commentList>
    <comment ref="A11" authorId="0" shapeId="0" xr:uid="{FF2E91BA-7916-43BE-8F07-2BF24553F947}">
      <text>
        <r>
          <rPr>
            <b/>
            <sz val="9"/>
            <color indexed="81"/>
            <rFont val="Tahoma"/>
            <family val="2"/>
          </rPr>
          <t>FPT-Pc:</t>
        </r>
        <r>
          <rPr>
            <sz val="9"/>
            <color indexed="81"/>
            <rFont val="Tahoma"/>
            <family val="2"/>
          </rPr>
          <t xml:space="preserve">
</t>
        </r>
      </text>
    </comment>
  </commentList>
</comments>
</file>

<file path=xl/sharedStrings.xml><?xml version="1.0" encoding="utf-8"?>
<sst xmlns="http://schemas.openxmlformats.org/spreadsheetml/2006/main" count="1651" uniqueCount="754">
  <si>
    <t>UBND TỈNH ĐẮK LẮK</t>
  </si>
  <si>
    <t>DANH MỤC CÁC CHƯƠNG TRÌNH, DỰ ÁN SỬ DỤNG VỐN NGÂN SÁCH NHÀ NƯỚC NĂM 2024</t>
  </si>
  <si>
    <t>(CÁC DỰ ÁN HOÀN THÀNH, CHUYỂN TIẾP BỐ TRÍ VỐN NĂM 2024- NGUỒN VỐN NGÂN SÁCH TỈNH)</t>
  </si>
  <si>
    <t>Đơn vị: Triệu đồng</t>
  </si>
  <si>
    <t>TT</t>
  </si>
  <si>
    <t>Danh mục dự án</t>
  </si>
  <si>
    <t xml:space="preserve">Mã dự án </t>
  </si>
  <si>
    <t>Địa điểm XD</t>
  </si>
  <si>
    <t>Năng lực thiết kế</t>
  </si>
  <si>
    <t>Thời gian KC-HT</t>
  </si>
  <si>
    <t>Chủ đầu tư</t>
  </si>
  <si>
    <t xml:space="preserve">Quyết định đầu tư </t>
  </si>
  <si>
    <t>Kế hoạch năm 2023</t>
  </si>
  <si>
    <t>Đã bố trí đến hết kế hoạch năm 2023</t>
  </si>
  <si>
    <t>Kế hoạch năm trung hạn 5 năm giai đoạn 2021-2025</t>
  </si>
  <si>
    <t>Số vốn còn thiếu so với TMĐT</t>
  </si>
  <si>
    <t>Kế hoạch năm 2024</t>
  </si>
  <si>
    <t>Ghi chú</t>
  </si>
  <si>
    <t>Số quyết định; ngày, tháng, năm ban hành</t>
  </si>
  <si>
    <t xml:space="preserve">TMĐT </t>
  </si>
  <si>
    <t>Tổng số (tất cả các nguồn vốn)</t>
  </si>
  <si>
    <t>Trong đó: vốn NSĐP</t>
  </si>
  <si>
    <t>Giai đoạn 2021-2025</t>
  </si>
  <si>
    <t>Trong đó: đã giao năn 2021, 2022, 2023</t>
  </si>
  <si>
    <t>Trong đó: NST</t>
  </si>
  <si>
    <t>Trong đó: Ngân sách tỉnh</t>
  </si>
  <si>
    <t>Tổng số</t>
  </si>
  <si>
    <t>Trong đó:</t>
  </si>
  <si>
    <t>Trung ương cân đối vốn ĐTPT trong nước</t>
  </si>
  <si>
    <t>Nguồn vốn thu tiền sử dụng đất</t>
  </si>
  <si>
    <t>Nguồn vốn XSKT</t>
  </si>
  <si>
    <t>Thu từ bán tài sản sở hữu Nhà nước</t>
  </si>
  <si>
    <t>Thu hồi các khoản vốn ứng trước NSTW</t>
  </si>
  <si>
    <t>Thanh toán nợ XDCB</t>
  </si>
  <si>
    <t>Chuẩn bị đầu tư</t>
  </si>
  <si>
    <t>I</t>
  </si>
  <si>
    <t>Quản lý Nhà nước</t>
  </si>
  <si>
    <t>Các dự án dự kiến hoàn thành năm 2024</t>
  </si>
  <si>
    <t>1</t>
  </si>
  <si>
    <t>Trụ sở làm việc Sở Kế hoạch và Đầu tư tỉnh Đắk Lắk</t>
  </si>
  <si>
    <t>TP. BMT</t>
  </si>
  <si>
    <t>2022-2024</t>
  </si>
  <si>
    <t>Ban QLDA ĐTXD CT DD&amp;CN tỉnh</t>
  </si>
  <si>
    <t>1601/QĐ-UBND ngày 21/7/2022</t>
  </si>
  <si>
    <t>CT</t>
  </si>
  <si>
    <t>2</t>
  </si>
  <si>
    <t>Trụ sở làm việc Ủy ban Mặt trận Tổ quốc Việt Nam tỉnh</t>
  </si>
  <si>
    <t>2609/QĐ-UBND, ngày 23/11/2022</t>
  </si>
  <si>
    <t>3</t>
  </si>
  <si>
    <t>Xây dựng nhà làm việc của Sở Nông nghiệp và Phát triển nông thôn</t>
  </si>
  <si>
    <t>2066/QĐ-UBND, ngày 15/9/2022</t>
  </si>
  <si>
    <t>4</t>
  </si>
  <si>
    <t>Nhà xử lý hồ sơ và lưu trữ hồ sơ lý lịch tư pháp, hồ sơ công chứng thuộc Sở Tư pháp.</t>
  </si>
  <si>
    <t>2013/QĐ-UBND ngày 09/9/2022</t>
  </si>
  <si>
    <t>5</t>
  </si>
  <si>
    <t>Trụ sở làm việc chi nhánh văn phòng Đăng ký đất đai huyện Krông Ana</t>
  </si>
  <si>
    <t>Kr. Ana</t>
  </si>
  <si>
    <t>2811/QĐ-UBND ngày 14/12/2022</t>
  </si>
  <si>
    <t>II</t>
  </si>
  <si>
    <t>Quy  hoạch</t>
  </si>
  <si>
    <t>Dự án dự kiến hoàn thành năm 2024</t>
  </si>
  <si>
    <t>Quy hoạch tỉnh Đắk Lắk thời kỳ 2021-2030, tầm nhìn đến 2050</t>
  </si>
  <si>
    <t>Toàn tỉnh</t>
  </si>
  <si>
    <t>2020-2023</t>
  </si>
  <si>
    <t>Sở KH và ĐT</t>
  </si>
  <si>
    <t>2099/QĐ-UBND ngày 09/9/2020</t>
  </si>
  <si>
    <t>III</t>
  </si>
  <si>
    <t>Giáo dục đào tạo và giáo dục nghề nghiệp</t>
  </si>
  <si>
    <t>Trường Cao đẳng Y tế Đắk Lắk</t>
  </si>
  <si>
    <t>3177/QĐ-UBND 30/10/2019</t>
  </si>
  <si>
    <t>Trường Chính trị tỉnh Đắk Lắk; Hạng mục: Xây dựng mới nhà lưu trú cho cán bộ, giảng viên; Cải tạo, nâng cấp nhà hiệu bộ, nhà ở học viên</t>
  </si>
  <si>
    <t>1042/QĐ-UBND ngày 05/5/2022</t>
  </si>
  <si>
    <t>IV</t>
  </si>
  <si>
    <t>Văn hóa, thông tin</t>
  </si>
  <si>
    <t>Trung tâm Đào tạo, Huấn luyện và Thi đấu Thể dục thể thao tỉnh Đắk Lắk; Hạng mục: Nhà nội trú, bếp ăn cho vận động viên và hạ tầng kỹ thuật</t>
  </si>
  <si>
    <t>1490/QĐ-UBND ngày 06/7/2022</t>
  </si>
  <si>
    <t>Chỉnh trang khuôn viên Bảo tàng tỉnh và Di tích Biệt Điện Bảo Đại</t>
  </si>
  <si>
    <t>Sở VHTTDL</t>
  </si>
  <si>
    <t>585/QĐ-UBND, ngày 09/3/2022</t>
  </si>
  <si>
    <t>V</t>
  </si>
  <si>
    <t>Nông nghiệp, lâm nghiệp, diêm nghiệp, thủy lợi và thủy sản</t>
  </si>
  <si>
    <t>a</t>
  </si>
  <si>
    <t>Các dự án dự kiến hoàn thành năm 2023</t>
  </si>
  <si>
    <t>Nâng cấp, sửa chữa công trình thủy lợi Ea Tlít, xã Cư Elang, huyện Ea Kar</t>
  </si>
  <si>
    <t>Ea Kar</t>
  </si>
  <si>
    <t>Ban QLDA ĐTXD H. Ea Kar</t>
  </si>
  <si>
    <t>408/QĐ-UBND, 18/02/2021</t>
  </si>
  <si>
    <t>Sửa chữa, nâng cấp công trình thủy lợi hồ Buôn Dhung xã Quảng Hiệp, huyện Cư M'gar</t>
  </si>
  <si>
    <t>Cư M'Gar</t>
  </si>
  <si>
    <t>Ban QLDA ĐTXD H. Cư M'Gar</t>
  </si>
  <si>
    <t>12/QĐ-UBND, 08/01/2021</t>
  </si>
  <si>
    <t>QT</t>
  </si>
  <si>
    <t>b</t>
  </si>
  <si>
    <t>Các dự án chuyển tiếp hoàn thành sau năm 2023</t>
  </si>
  <si>
    <t>Dự án di dân khẩn cấp vùng lũ ống, lũ quét, sạt lở đất cụm dân cư thôn 4, thôn 7, thôn 8, thôn 9, thôn 10 và thôn 12 xã Ya Tờ Mốt, huyện Ea Súp</t>
  </si>
  <si>
    <t>Ea Súp</t>
  </si>
  <si>
    <t>Ban QLDA ĐTXDCT GT&amp;NNPTNT tỉnh</t>
  </si>
  <si>
    <t>113/QĐ-UBND, 18/01/2021</t>
  </si>
  <si>
    <t>Dự án ổn định dân di cư tự do thôn Ea Rớt, xã Cư Pui, huyện Krông Bông</t>
  </si>
  <si>
    <t>Kr. Bông</t>
  </si>
  <si>
    <t>1698/QĐ-UBND, ngày 9/7/2021</t>
  </si>
  <si>
    <t>Dự án kè chống sạt lở bờ sông Krông Pách và xây dựng đê bao ngăn lũ đoạn qua xã Vụ Bổn, huyện Krông Pắc</t>
  </si>
  <si>
    <t xml:space="preserve"> Krông Pắc</t>
  </si>
  <si>
    <t>3320/QĐ-UBND, ngày 25/11/2021</t>
  </si>
  <si>
    <t>Hồ thủy lợi Ea Tam, thành phố Buôn Ma Thuột</t>
  </si>
  <si>
    <t>UBND TP. BMT</t>
  </si>
  <si>
    <t>2729/QĐ-UBND, 29/9/2017; 1653/QĐ-UBND, 28/6/2019; 1674/QĐ-UBND, ngày 07/7/2021</t>
  </si>
  <si>
    <t xml:space="preserve">Công trình thủy lợi Hồ chứa nước Ea Súp thượng, tỉnh Đắk Lắk (phần vốn do Bộ Nông nghiệp và Phát triển nông thôn giao cho UBND tỉnh quản lý) </t>
  </si>
  <si>
    <t>UBND H. Ea Súp</t>
  </si>
  <si>
    <t>3045/QĐ-BNN-XD, 26/10/2009; 2369/QĐ-UBND, 09/10/2014; 1310/QĐ-BNN-XD, 15/4/2016</t>
  </si>
  <si>
    <t>Gói 41A  thuộc dự án: CTTL Hồ chứa nước Ea Súp thượng Hợp phần hệ thống kênh chính Tây</t>
  </si>
  <si>
    <t>Gói 41B thuộc dự án: CTTL Hồ chứa nước Ea Súp thượng Hợp phần hệ thống kênh chính Tây</t>
  </si>
  <si>
    <t>VI</t>
  </si>
  <si>
    <t>Công nghiệp</t>
  </si>
  <si>
    <t>Các dự án hoàn thành, bàn giao, đưa vào sử dụng đến ngày 31/12/2022</t>
  </si>
  <si>
    <t>Hệ thống xử lý nước thải thập trung cụm công nghiệp Tân An 1 và 2, TP. BMT</t>
  </si>
  <si>
    <t>2838/QĐ-UBND, 05/11/2010; 2410/QĐ-UBND, 18/10/2012; 1631/QĐ-UBND, ngày 25/7/2022</t>
  </si>
  <si>
    <t>Các dự án chuyển tiếp dự kiến hoàn thành sau năm 2023</t>
  </si>
  <si>
    <t>Hệ thống điện chiếu sáng công cộng các tuyến đường thị xã Buôn Hồ</t>
  </si>
  <si>
    <t>B. Hồ</t>
  </si>
  <si>
    <t>Ban QLDA ĐTXD TX. B. Hồ</t>
  </si>
  <si>
    <t>2409/QĐ-UBND, 31/8/2021</t>
  </si>
  <si>
    <t>VII</t>
  </si>
  <si>
    <t>Khu Công nghiệp và khu kinh tế</t>
  </si>
  <si>
    <t>Đường giao thông trục chính vào Khu công nghiệp Hòa Phú</t>
  </si>
  <si>
    <t>2647/QĐ-UBND, 24/9/2021</t>
  </si>
  <si>
    <t>Nhà máy xử lý nước rỉ rác cho Khu chôn lấp chất thải rắn sinh hoạt Hòa Phú, thành phố Buôn Ma Thuột</t>
  </si>
  <si>
    <t>1853/QĐ-UBND ngày 18/8/2022</t>
  </si>
  <si>
    <t>VIII</t>
  </si>
  <si>
    <t>Kho tàng</t>
  </si>
  <si>
    <t>Kho lưu trữ chuyên dụng tỉnh Đắk Lắk (GĐ 1)</t>
  </si>
  <si>
    <t>Sở Nội vụ</t>
  </si>
  <si>
    <t>3202/QĐ-UBND, 06/11/2021</t>
  </si>
  <si>
    <t>IX</t>
  </si>
  <si>
    <t>Giao thông</t>
  </si>
  <si>
    <t>Các dự án hoàn thành, bàn giao, đưa vào sử dụng năm 2023</t>
  </si>
  <si>
    <t>Đường giao thông nông thôn liên xã từ buôn Kram xã Ea Tiêu đến thôn Cao Thắng xã Ea Kao</t>
  </si>
  <si>
    <t>Cư Kuin</t>
  </si>
  <si>
    <t>Ban QLDA ĐTXD H. Cư Kuin</t>
  </si>
  <si>
    <t>1657/QĐ-UBDN ngày 07/7/2021</t>
  </si>
  <si>
    <t>HT</t>
  </si>
  <si>
    <t>Đường giao thông từ trung tâm xã Ia Jlơi đi Làng Thanh niên lập nghiệp xã Ia Lốp, huyện Ea Súp (từ Km 9+00-Km11+50)</t>
  </si>
  <si>
    <t>BQLDA ĐTXD H. Ea Súp</t>
  </si>
  <si>
    <t>1547/QĐ-UBND ngày 24/6/2021</t>
  </si>
  <si>
    <t>Đường giao thông vào Trung tâm điều dưỡng người có công tỉnh Đắk Lắk</t>
  </si>
  <si>
    <t>744/QĐ-UBND, 08/4/2020</t>
  </si>
  <si>
    <t>Đường Hùng Vương (Đoạn từ đường Nguyễn Công Trứ đến đường Nguyễn Văn Cừ), TP Buôn Ma Thuột - Giai đoạn 1</t>
  </si>
  <si>
    <t>3182/QĐ-UBND ngày 31/10/2019</t>
  </si>
  <si>
    <t>Các dự án dự kiến hoàn thành sau  năm 2023</t>
  </si>
  <si>
    <t>Cải tạo, nâng cấp đường Trần Phú thành phố Buôn Ma Thuột (Đoạn nối dài)</t>
  </si>
  <si>
    <t>Ban QLDA ĐTXD TP. BMT</t>
  </si>
  <si>
    <t>2982/QĐ-UBND , 28/10/2021</t>
  </si>
  <si>
    <t>Đường Hùng Vương nối dài (đoạn từ đường Kim Đồng, thị trấn Quảng Phú đến xã Ea Kpam), huyện Cư M'gar</t>
  </si>
  <si>
    <t>Cư M'gar</t>
  </si>
  <si>
    <t>291/QĐ-UBND, 13/02/2020</t>
  </si>
  <si>
    <t>Đường giao thông từ xã Bình Thuận, thị xã Buôn Hồ đi Km111+950 quốc lộ 26, xã Ea Phê, huyện Krông Pắc</t>
  </si>
  <si>
    <t>Xã Bình Thuận, thị xã Buôn Hồ và xã Ea Phê, huyện Krông Pắc</t>
  </si>
  <si>
    <t>3482/QĐ-UBND ngày 13/12/2021</t>
  </si>
  <si>
    <t>Cầu Hàm Long, xã Xuân Phú, huyện Ea Kar</t>
  </si>
  <si>
    <t>685/QĐ-UBND, ngày 17/3/2022</t>
  </si>
  <si>
    <t>Đường liên huyện Ea H'leo - Krông Năng (Đoạn từ xã Dliê Yang, xã Ea Hiao, huyện Ea H'leo đi xã Ea Tân huyện Krông Năng)</t>
  </si>
  <si>
    <t xml:space="preserve"> Xã Ea Hiao, huyện Ea H'leo</t>
  </si>
  <si>
    <t>1173/QĐ-UBND, ngày 23/5/2022</t>
  </si>
  <si>
    <t>c</t>
  </si>
  <si>
    <t>Các dự án chuyển tiếp hoàn thành sau  năm 2024</t>
  </si>
  <si>
    <t>Đường giao thông liên huyện Cư M'gar - thị xã Buôn Hồ</t>
  </si>
  <si>
    <t xml:space="preserve"> Cư M'gar; TX Buôn Hồ</t>
  </si>
  <si>
    <t>Ban QLDA ĐTXD CT GT và NN  PTNT tỉnh</t>
  </si>
  <si>
    <t>218/QĐ-UBND, ngày 13/02/2023</t>
  </si>
  <si>
    <t>X</t>
  </si>
  <si>
    <t>Du lịch</t>
  </si>
  <si>
    <t>Đường giao thông trục chính vào khu du lịch sinh thái Buôn Đôn, xã Krông Na</t>
  </si>
  <si>
    <t>B. Đôn</t>
  </si>
  <si>
    <t>Ban QLDA ĐTXD H. B. Đôn</t>
  </si>
  <si>
    <t>2589/QĐ-UBND , 20/9/2021</t>
  </si>
  <si>
    <t>Nâng cấp vỉa hè, hệ thống điện bờ hồ và Trung tâm huyện phục vụ du lịch hồ Lắk</t>
  </si>
  <si>
    <t>Lắk</t>
  </si>
  <si>
    <t>Ban QLDA ĐTXD H. Lắk</t>
  </si>
  <si>
    <t>1460/QĐ-UBND ngày 30/6/2022</t>
  </si>
  <si>
    <t>Đường ven hồ Lắk đoạn quanh điểm du lịch buôn Jun, thị trấn Liên Sơn</t>
  </si>
  <si>
    <t>982/QĐ-UBND, ngày 25/4/2022</t>
  </si>
  <si>
    <t>Đầu tư xây dựng đập dâng khắc phục tình trạng cạn kiệt nguồn nước đoạn sông Srêpốk đi qua Khu du lịch Buôn Đôn</t>
  </si>
  <si>
    <t>5516/QĐ-UBND, 09/12/2022</t>
  </si>
  <si>
    <t>Xây dựng cơ sở hạ tầng khu tái định cư tại khu đô thị sinh thái văn hoá, du lịch dân tộc Đắk Lắk</t>
  </si>
  <si>
    <t>06 trục đường 954,01m</t>
  </si>
  <si>
    <t>2023-2024</t>
  </si>
  <si>
    <t>1549/QĐ-UBND 
14/7/2022</t>
  </si>
  <si>
    <t>Đường giao thông quanh bờ hồ, khu du lịch hồ Tân An, thị trấn Phước An, huyện Krông Pắc</t>
  </si>
  <si>
    <t>Kr. Pắc</t>
  </si>
  <si>
    <t>Ban QLDA ĐTXD H. Kr. Pắc</t>
  </si>
  <si>
    <t>1727/QĐ-UBND ngày 25/4/2022</t>
  </si>
  <si>
    <t>XI</t>
  </si>
  <si>
    <t>Công nghệ thông tin</t>
  </si>
  <si>
    <t>Ứng dụng công nghệ thông tin trong hoạt động của các cơ quan Đảng tỉnh Đắk Lắk, giai đoạn 2021 -2025</t>
  </si>
  <si>
    <t>Văn phòng Tỉnh ủy</t>
  </si>
  <si>
    <t>2991/QĐ-UBND, ngày 30/12/2022</t>
  </si>
  <si>
    <t>XII</t>
  </si>
  <si>
    <t>Cấp nước, thoát nước</t>
  </si>
  <si>
    <t>Các dự án chuyển tiếp hoàn thành sau năm 2024</t>
  </si>
  <si>
    <t>Hệ thống cấp nước cho thị trấn Liên Sơn và các xã Đắk Liêng,  xã Đắk Nuê, huyện Lắk</t>
  </si>
  <si>
    <t>3842/QĐ-UBND ngày 31/12/2021</t>
  </si>
  <si>
    <t>XIII</t>
  </si>
  <si>
    <t>Xã hội</t>
  </si>
  <si>
    <t>Cải tạo, chỉnh trang và xây dựng mới một số hạng mục tại Nghĩa trang cán bộ tỉnh Đắk Lắk</t>
  </si>
  <si>
    <t>Sở LĐTB và XH</t>
  </si>
  <si>
    <t>Sở LĐTBXH</t>
  </si>
  <si>
    <t>571/QĐ-UBND, ngày 28/3/2023</t>
  </si>
  <si>
    <t>Cải tạo, nâng cấp một số hạng mục Nghĩa trang liệt sỹ tỉnh Đắk Lắk</t>
  </si>
  <si>
    <t>1041/QĐ-UBND ngày 5/5/2022</t>
  </si>
  <si>
    <t>Cơ sở bảo trợ xã hội, chăm sóc phục hồi chức năng cho người tâm thần, rối nhiễu tâm trí tỉnh Đắk Lắk</t>
  </si>
  <si>
    <t>Hoàn ứng Quỹ Phát triển nhà đất</t>
  </si>
  <si>
    <t>XIV</t>
  </si>
  <si>
    <t>Lĩnh vực phát thanh truyền hình</t>
  </si>
  <si>
    <t>Trung tâm Kỹ thuật Phát thanh và Truyền hình, thuộc Đài Phát thanh và Truyền hình tỉnh Đắk Lắk</t>
  </si>
  <si>
    <t>2014/QĐ-UBND 11/8/2010</t>
  </si>
  <si>
    <t>CTMM</t>
  </si>
  <si>
    <t>XV</t>
  </si>
  <si>
    <t>Y tế</t>
  </si>
  <si>
    <t xml:space="preserve">Dự án chuyển tiếp </t>
  </si>
  <si>
    <t>Nâng cấp, mở rộng Bệnh viện y học cổ truyền tỉnh Đắk Lắk; Hạng mục: Nhà điều trị nội trú</t>
  </si>
  <si>
    <t>XVI</t>
  </si>
  <si>
    <t>Các dự án chuyển tiếp khác</t>
  </si>
  <si>
    <t>Huyện Ea Kar</t>
  </si>
  <si>
    <t>Trường THPT Ngô Gia Tự, thị trấn Ea Kar, huyện Ea Kar; Hạng mục: Nhà hiệu bộ</t>
  </si>
  <si>
    <t>203/QĐ-UBND ngày 25/4/2022</t>
  </si>
  <si>
    <t>Quảng trường Ea Kar, huyện Ea Kar (giai đoạn 1)</t>
  </si>
  <si>
    <t>1215/QĐ-UBND, 30/5/2022</t>
  </si>
  <si>
    <t>Đường N6 Khu trung tâm hành chính mới huyện Ea Kar</t>
  </si>
  <si>
    <t>250/QĐ-UBND, ngày 20/5/2022</t>
  </si>
  <si>
    <t>Đường D5, N4 Khu trung tâm hành chính mới huyện Ea Kar</t>
  </si>
  <si>
    <t>1214/QĐ-UBND, 30/5/2022</t>
  </si>
  <si>
    <t>Đầu tư xây dựng kè và san nền Khu trung tâm hành chính mới huyện Ea Kar</t>
  </si>
  <si>
    <t>251/QĐ-UBND, ngày 20/5/2022</t>
  </si>
  <si>
    <t>6</t>
  </si>
  <si>
    <t>Đường D3, D5, D6, N7 Khu trung tâm hành chính mới huyện Ea Kar</t>
  </si>
  <si>
    <t>249/QĐ-UBND, ngày 20/5/2022</t>
  </si>
  <si>
    <t>7</t>
  </si>
  <si>
    <t>Cải tạo, nâng cấp đường giao từ Quốc lộ 26 đi qua Nhà máy nước, huyện Ea Kar</t>
  </si>
  <si>
    <t>273/QĐ-UBND, 05/6/2023</t>
  </si>
  <si>
    <t>8</t>
  </si>
  <si>
    <t>Cải tạo, nâng cấp đường liên xã Cư Ni đi xã Ea Pal và xây dựng mới các trục đường khu dân cư xã Cư Ni, huyện Ea Kar</t>
  </si>
  <si>
    <t>108/QĐ-UBND, 23/3/2023</t>
  </si>
  <si>
    <t>9</t>
  </si>
  <si>
    <t>Trường THPT Võ Nguyên Giáp, xã Ea Ô, huyện Ea Kar (GĐ2)</t>
  </si>
  <si>
    <t>171/QĐ-UBND, ngày 13/4/2023</t>
  </si>
  <si>
    <t>10</t>
  </si>
  <si>
    <t>Đường N8 Khu trung tâm hành chính mới huyện Ea Kar</t>
  </si>
  <si>
    <t>323/QĐ-UBND, 22/6/2023</t>
  </si>
  <si>
    <t>11</t>
  </si>
  <si>
    <t>Cải tạo, nâng cấp đường giao thông liên xã Ea Pal đi Cư Prông huyện Ea Kar</t>
  </si>
  <si>
    <t>172/QĐ-UBND, 13/4/2023</t>
  </si>
  <si>
    <t>12</t>
  </si>
  <si>
    <t>Đầu tư xây dựng cơ sở hạ tầng thiết yếu khu dân cư Buôn Ea Rớt, xã Cư Elang, huyện Ea Kar</t>
  </si>
  <si>
    <t>125/QĐ-UBND, ngày 27/3/2023</t>
  </si>
  <si>
    <t xml:space="preserve"> </t>
  </si>
  <si>
    <t>13</t>
  </si>
  <si>
    <t>Dự án Hệ thống xử lý nước thải Cụm Công nghiệp Ea Đar, huyện Ea Kar</t>
  </si>
  <si>
    <t>325/QĐ-UBND, 22/6/2023</t>
  </si>
  <si>
    <t>Huyện Cư Kuin</t>
  </si>
  <si>
    <t>Xây dựng hệ thống thoát nước khu Trung Hoà, xã Ea Tiêu, huyện Cư Kuin</t>
  </si>
  <si>
    <t>602/QĐ-UBND, ngày 25/4/2022</t>
  </si>
  <si>
    <t>Xây dựng Cầu Chăn Nuôi xã Cư Êwi huyện Cư Kuin</t>
  </si>
  <si>
    <t>599/QĐ-UBND, ngày 25/4/2022</t>
  </si>
  <si>
    <t xml:space="preserve">Nâng cấp, sửa chữa đường GT liên xã Ea Bhốk đi buôn Pưk Prông xã Ea Ning (Đoạn từ ngã 3 trường Nguyễn Văn Bé đến buôn Pưk Prông), huyện Cư Kuin </t>
  </si>
  <si>
    <t>957/QĐ-UBND, ngày 21/4/2022</t>
  </si>
  <si>
    <t>Buôn Hồ</t>
  </si>
  <si>
    <t>Nâng cấp, cải tạo một số trục đường, phường Thống Nhất, thị xã Buôn Hồ</t>
  </si>
  <si>
    <t>1076/QĐ-UBND, ngày 22/4/2022</t>
  </si>
  <si>
    <t>Nâng cấp, cải tạo đường Hoàng Quốc Việt, phường Đoàn Kết, thị xã Buôn Hồ</t>
  </si>
  <si>
    <t>1087/QĐ-UBND, ngày 25/4/2022</t>
  </si>
  <si>
    <t>Nâng cấp mở rộng đường Lê Quý Đôn, phường An Bình, thị xã Buôn Hồ</t>
  </si>
  <si>
    <t>925/QĐ-UBND, ngày 06/4/2022</t>
  </si>
  <si>
    <t>Huyện M'Drắk</t>
  </si>
  <si>
    <t>Hệ thống điện chiếu sáng nội thị trấn M'Drắk, huyện M'Drắk</t>
  </si>
  <si>
    <t>M'Drắk</t>
  </si>
  <si>
    <t>Ban QLDA ĐTXD H. M'Đrắk</t>
  </si>
  <si>
    <t>1015/QĐ-UBND ngày 29/4/2022</t>
  </si>
  <si>
    <t>Nâng cấp đường giao thông từ đường Bùi Thị Xuân Thị trấn M'Drắk đi xã Ea Riêng, huyện M'Drắk</t>
  </si>
  <si>
    <t>1071/QĐ-UBND, ngày 11/5/2022</t>
  </si>
  <si>
    <t>Trường THPT Nguyễn Trường Tộ, huyện M’Đrắk; Hạng mục: Nhà lớp học bộ môn, thư viện, nhà đa chức năng và hạ tầng kỹ thuật</t>
  </si>
  <si>
    <t>997/QĐ-UBND ngày 25/4/2022</t>
  </si>
  <si>
    <t>Huyện Ea Súp</t>
  </si>
  <si>
    <t>Đường giao thông liên xã Ia Lốp đi xã Ia Rvê đấu nối vào Quốc lộ 14C</t>
  </si>
  <si>
    <t>2137/QĐ-UBND, ngày  14/3/2022</t>
  </si>
  <si>
    <t>Đường giao thông từ trung tâm xã Ia Rvê đi đồn biên phòng 737, xã Ia Rvê, huyện Ea Súp</t>
  </si>
  <si>
    <t>2140/QĐ-UBND, ngày 14/3/2022</t>
  </si>
  <si>
    <t>Đường giao thông từ Buôn C Thị trấn Ea Súp đi khu nhà mồ Buôn C, qua khu dân cư đấu nối vào đường Tỉnh lộ 1</t>
  </si>
  <si>
    <t>2135/QĐ-UBND, ngày 14/3/2022</t>
  </si>
  <si>
    <t>Khu văn hóa thể thao và hạ tầng kỹ thuật phục vụ 5 buôn đồng bào dân tộc tại chỗ trên địa bàn thị trấn Ea Súp, huyện Ea Súp; Hạng mục: Nhà thi đấu đa năng, nhà truyền thống và văn hóa cộng đồng</t>
  </si>
  <si>
    <t>2138/QĐ-UBND, ngày 14/3/2022</t>
  </si>
  <si>
    <t>Huyện Krông Năng</t>
  </si>
  <si>
    <t>Đường giao thông từ trung tâm xã Ea Tân, huyện Krông Năng đi huyện Ea H'leo</t>
  </si>
  <si>
    <t>Kr. Năng</t>
  </si>
  <si>
    <t>Ban QLDA ĐTXD H. Kr. Năng</t>
  </si>
  <si>
    <t>1196/QĐ-UBND ngày 25/4/2022</t>
  </si>
  <si>
    <t>Trung tâm Y tế huyện Krông Năng; Hạng mục: Khối hành chính và phòng mổ, khoa y học cổ truyền</t>
  </si>
  <si>
    <t>983/QĐ-UBND ngày 26/4/2022</t>
  </si>
  <si>
    <t>Xây dựng mới cầu km 12+900 tỉnh lộ 3</t>
  </si>
  <si>
    <t>991/QĐ-UBND ngày 26/4/2022</t>
  </si>
  <si>
    <t>Huyện Krông Ana</t>
  </si>
  <si>
    <t>Xây dựng trạm bơm và kênh mương Bầu Đen, xã Bình Hòa, huyện Krông Ana</t>
  </si>
  <si>
    <t>Ban QLDA ĐTXD H. Kr. Ana</t>
  </si>
  <si>
    <t>1210/QĐ-UBND ngày 25/4/2022</t>
  </si>
  <si>
    <t>Cải tạo, nâng cấp đường  Phan Bội Châu và đường Lê Lợi, thị trấn Buôn Trấp, huyện Krông Ana</t>
  </si>
  <si>
    <t>1209/QĐ-UBND ngày 25/4/2022</t>
  </si>
  <si>
    <t>Cải tạo trụ sở làm việc Huyện ủy và trụ sở làm việc HĐND, UBND huyện Krông Ana</t>
  </si>
  <si>
    <t>1208/QĐ-UBND ngày 25/4/2022</t>
  </si>
  <si>
    <t>Huyện Krông Bông</t>
  </si>
  <si>
    <t>Đường bờ kè Krông Kmar, thị trấn Krông Kmar, huyện Krông Bông</t>
  </si>
  <si>
    <t>Ban QLDA ĐTXD H. Kr. Bông</t>
  </si>
  <si>
    <t>1669/QĐ-UBND, ngày 28/3/2022</t>
  </si>
  <si>
    <t>Gia cố mái kênh chính và các hạng mục phụ trợ thuộc công trình thủy lợi Krông Kmar, huyện Krông Bông</t>
  </si>
  <si>
    <t>2993/QĐ-UBND, ngày 30/12/2022</t>
  </si>
  <si>
    <t>Trụ Sở làm việc Đảng ủy, HĐND-UBND- UBMT Tổ quốc  xã Ea Trul, huyện Krông Bông</t>
  </si>
  <si>
    <t>1670/QĐ-UBND, ngày 28/3/2022</t>
  </si>
  <si>
    <t>Nâng cấp, sửa chữa đường giao thông từ xã Hòa Thành, huyện Krông Bông đi xã Ea Hu, huyện Cư Kuin</t>
  </si>
  <si>
    <t>1650/QĐ-UBND ngày 23/3/2022</t>
  </si>
  <si>
    <t>Huyện Ea H'leo</t>
  </si>
  <si>
    <t>Trụ sở làm việc Đảng ủy, HĐND - UBND xã Ea Wy, huyện Ea H'Leo</t>
  </si>
  <si>
    <t>Ea H'leo</t>
  </si>
  <si>
    <t>Ban QLDA ĐTXD H. Ea H'leo</t>
  </si>
  <si>
    <t>2135/QĐ-UBND ngày 28/4/2022</t>
  </si>
  <si>
    <t>Huyện Lắk</t>
  </si>
  <si>
    <t xml:space="preserve">Nhà làm việc các phòng ban chuyên môn UBND huyện Lắk; hạng mục: Nhà làm việc, cổng, tường rào và khuôn viên </t>
  </si>
  <si>
    <t>1248/QĐ-UBND, 03/6/2022</t>
  </si>
  <si>
    <t>Huyện Buôn Đôn</t>
  </si>
  <si>
    <t>Trạm bơm Buôn Trí, xã Krông Na, huyện Buôn Đôn</t>
  </si>
  <si>
    <t>1510/QĐ-UBND, ngày 25/4/2022</t>
  </si>
  <si>
    <t>Đường giao thông liên xã từ Đập Thiên Đường, xã Tân Hòa đi thôn Ea Ly, xã Ea Wer, huyện Buôn Đôn</t>
  </si>
  <si>
    <t>1511/QĐ-UBND, 25/4/2022</t>
  </si>
  <si>
    <t>Nhà ăn, bếp cho cán bộ chiến sĩ Ban chỉ huy Quân sự huyện Buôn Đôn.</t>
  </si>
  <si>
    <t>1507/QĐ-UBND, ngày 22/4/2022</t>
  </si>
  <si>
    <t>Huyện Krông Pắc</t>
  </si>
  <si>
    <t>Cải tạo, nâng cấp đường giao thông trung tâm xã Vụ Bổn, huyện Krông Pắc</t>
  </si>
  <si>
    <t>1726/QĐ-UBND, ngày 25/4/2022</t>
  </si>
  <si>
    <t>Trụ sở HĐND &amp; UBND xã Ea Kênh, huyện Krông Pắc</t>
  </si>
  <si>
    <t>1728/QĐ-UBND ngày 25/4/2022</t>
  </si>
  <si>
    <t>Trường THPT Nguyễn Thị Minh Khai, xã Tân Tiến, huyện Krông Pắc; hạng mục: Nhà lớp học bộ môn, thiết bị, thư viện và hạ tầng kỹ thuật</t>
  </si>
  <si>
    <t>1730b/QĐ-UBND ngày 25/4/2022</t>
  </si>
  <si>
    <t>Huyện Cư M'gar</t>
  </si>
  <si>
    <t>Nâng cấp, bê tông hóa đường giao thông nội buôn Pốk A, buôn Pốk B, thị trấn Ea Pốk, huyện Cư M’gar</t>
  </si>
  <si>
    <t>Cư  M'gar</t>
  </si>
  <si>
    <t>Ban QLDA ĐTXD H. Cư M'gar</t>
  </si>
  <si>
    <t>1136/QĐ-UBND ngày 30/3/2022</t>
  </si>
  <si>
    <t>Huyện Krông Búk</t>
  </si>
  <si>
    <t>Bãi xử lý rác tập trung huyện Krông Búk</t>
  </si>
  <si>
    <t>Kr. Búk</t>
  </si>
  <si>
    <t>Ban QLDA ĐTXD H. Kr. Búk</t>
  </si>
  <si>
    <t>1324/QĐ-UBND ngày 13/6/2022</t>
  </si>
  <si>
    <t>Xây dựng hoàn chỉnh hạ tầng kỹ thuật và đường vào công trình Ghi công liệt sỹ huyện Krông Búk</t>
  </si>
  <si>
    <t>1016/QĐ-UBND ngày 29/4/2022</t>
  </si>
  <si>
    <t>Trung tâm y tế huyện Krông Búk; Hạng mục: Khoa dinh dưỡng và Khoa vật lý trị liệu - phục hồi chức năng, sân phơi đồ, cầu nối</t>
  </si>
  <si>
    <t>979/QĐ-UBND ngày 22/4/2022</t>
  </si>
  <si>
    <t xml:space="preserve">(CÁC DỰ ÁN KHỞI CÔNG NĂM 2024-NGUỒN VỐN NGÂN SÁCH TỈNH) </t>
  </si>
  <si>
    <t>ĐVT: Triệu đồng</t>
  </si>
  <si>
    <t>Mã dự án</t>
  </si>
  <si>
    <t>Trong đó: đã giao năn 2021,2022,2023</t>
  </si>
  <si>
    <t>Tổng cộng</t>
  </si>
  <si>
    <t>A</t>
  </si>
  <si>
    <t>Các dự án giao kế hoạch năm 2024</t>
  </si>
  <si>
    <t xml:space="preserve">THỊ XÃ BUÔN HỒ </t>
  </si>
  <si>
    <t>Sửa chữa, nâng cấp đường giao thông từ xã Ea Blang đi xã Ea Siên, thị xã Buôn Hồ</t>
  </si>
  <si>
    <t>1793/QĐ-UBND, 02/6/2023</t>
  </si>
  <si>
    <t>Trụ Sở làm việc khối mặt trận và các đoàn thể TX Buôn Hồ</t>
  </si>
  <si>
    <t>4065/QĐ-UBND, 06/11/2023</t>
  </si>
  <si>
    <t>Nâng cấp, cải tạo hồ Hà Cỏ, phường Bình Tân, thị xã Buôn Hồ</t>
  </si>
  <si>
    <t>1796/QĐ-UBND, 02/6/2023</t>
  </si>
  <si>
    <t xml:space="preserve">HUYỆN M'DRẮK </t>
  </si>
  <si>
    <t>Cải tạo, nâng cấp đường giao thông liên xã Ea Pil đi xã Cư Prao, huyện M'Drắk (Đoạn nối dài)</t>
  </si>
  <si>
    <t>977/QĐ-UBND, ngày 15/3/2023</t>
  </si>
  <si>
    <t>Cải tạo, nâng cấp đường giao thông liên xã Ea Trang đi xã Cư San, huyện M'Drắk (lý trình Km0+00 - Km1+720 và Km4+280 - Km6+130)</t>
  </si>
  <si>
    <t>1345/QĐ-UBND, ngày 07/4/2023</t>
  </si>
  <si>
    <t>Đường giao thông nội thị từ Tổ dân phố 8 (nay tổ dân phố 1 mới) đi Tổ dân phố 4 thị trấn M'Drắk, huyện M'Drắk</t>
  </si>
  <si>
    <t>1008/QĐ-UBND, ngày 20/3/2023</t>
  </si>
  <si>
    <t>Dự án Đường giao thông Cụm Công nghiệp M’Drắk, huyện M’Drắk</t>
  </si>
  <si>
    <t>5306/QĐ-UBND, ngày 08/12/2023</t>
  </si>
  <si>
    <t xml:space="preserve">HUYỆN EA SÚP  </t>
  </si>
  <si>
    <t>Đường giao thông Nguyễn Du, thị trấn Ea Súp, huyện Ea Súp</t>
  </si>
  <si>
    <t>Ban QLDA ĐTXD H. Ea Súp</t>
  </si>
  <si>
    <t xml:space="preserve"> 4244 QĐ-UBND, ngày 17/11/2023</t>
  </si>
  <si>
    <t>Cải tạo, nâng cấp 02 trục đường Lê Hồng Phong, thị trấn Ea Súp, huyện Ea Súp</t>
  </si>
  <si>
    <t xml:space="preserve"> 4243 QĐ-UBND, ngày 17/11/2023</t>
  </si>
  <si>
    <t>Đường vào khu phòng thủ SH01 xã Cư Kbang, huyện Ea Súp</t>
  </si>
  <si>
    <t>4242/QĐ-UBND, 17/11/2023</t>
  </si>
  <si>
    <t>Dự án Đường giao thông Cụm Công nghiệp Ea Lê, huyện Ea Súp (Đường số No1, N02, No3, No4),</t>
  </si>
  <si>
    <t>2888/QĐ-UBND, ngày 23/12/2022</t>
  </si>
  <si>
    <t xml:space="preserve">HUYỆN KRÔNG NĂNG </t>
  </si>
  <si>
    <t>Hệ thống điện chiếu sáng nội thị trấn Krông Năng, huyện Krông Năng</t>
  </si>
  <si>
    <t>2184/QĐ-UBND, ngày 09/6/2023</t>
  </si>
  <si>
    <t>Nâng cấp, mở rộng đường giao thông từ trung tâm huyện đến trung tâm xã Ea Tóh, huyện Krông Năng</t>
  </si>
  <si>
    <t>1393/QĐ-UBND, ngày 08/5/2023</t>
  </si>
  <si>
    <t>Đường giao thông các trục chính buôn Dliêya, xã Dliêya, huyện Krông Năng</t>
  </si>
  <si>
    <t>2250/QĐ-UBND, ngày 16/6/2023</t>
  </si>
  <si>
    <t>Nâng cấp, mở rộng đường giao thông liên xã Ea Hồ - Phú Xuân, huyện Krông Năng</t>
  </si>
  <si>
    <t>1502/QĐ-UBND, ngày 12/5/2023</t>
  </si>
  <si>
    <t xml:space="preserve"> Trụ sở HĐND và UBND xã Phú Xuân, huyện Krông Năng, tỉnh Đắk Lắk; Hạng mục: Nhà làm việc và hạ tầng kỹ thuật đi kèm.</t>
  </si>
  <si>
    <t>1503/QĐ-UBND, ngày 12/5/2023</t>
  </si>
  <si>
    <t xml:space="preserve">HUYỆN KRÔNG ANA </t>
  </si>
  <si>
    <t>Cải tạo nâng cấp và mở rộng tuyến đường Nguyễn Du nối dài, thị trấn Buôn Trấp, huyện Krông Ana (đoạn từ tổ dân phố 3 đến ngã tư buôn Ê Căm)</t>
  </si>
  <si>
    <t>2472/QĐ-UBND, 24/6/2023</t>
  </si>
  <si>
    <t>Nâng cấp đường giao thông từ ngã ba Quỳnh Ngọc, xã Ea Na đi thác Dray Nur, xã Dray Sáp, huyện Krông Ana</t>
  </si>
  <si>
    <t>2168/QĐ-UBND, ngày 23/5/2023</t>
  </si>
  <si>
    <t>Trường THPT Krông Ana, huyện Krông Ana; Hạng mục: Nhà lớp học bộ môn</t>
  </si>
  <si>
    <t>3905/QĐ-UBND, ngày 24/10/2023</t>
  </si>
  <si>
    <t>HUYỆN KRÔNG BÔNG</t>
  </si>
  <si>
    <t>Trạm bơm cánh đồng Công Trường, xã Ea Trul, huyện Krông Bông</t>
  </si>
  <si>
    <t>3276/QĐ-UBND, ngày 19/7/2023</t>
  </si>
  <si>
    <t>Trạm bơm cánh đồng Đồi Sơn, xã Khuê Ngọc Điền, huyện Krông Bông</t>
  </si>
  <si>
    <t>2596/QĐ-UBND, ngày 28/6/2023</t>
  </si>
  <si>
    <t>Kiên cố hóa kênh mương công trình Trạm bơm Buôn Tliêr xã Hòa Phong, huyện Krông Bông</t>
  </si>
  <si>
    <t>2489/QĐ-UBND, ngày 21/6/2023</t>
  </si>
  <si>
    <t xml:space="preserve">HUYỆN EA HLEO </t>
  </si>
  <si>
    <t>Cải tạo, nâng cấp đường giao thông liên xã Ea Sol đi xã Ea Hiao, huyện Ea H'Leo</t>
  </si>
  <si>
    <t>2594/QĐ-UBND, 22/8/2023</t>
  </si>
  <si>
    <t xml:space="preserve">Cải tạo, nâng cấp đường giao thông liên xã Ea Wy - Cư Amung - Ea Tir, huyện Ea H'Leo </t>
  </si>
  <si>
    <t>2006/QĐ-UBND, 26/6/2023</t>
  </si>
  <si>
    <t>Trường THPT Ea H’leo, huyện Ea H’leo; Hạng mục: Nhà lớp học 12 phòng</t>
  </si>
  <si>
    <t>2626/QĐ-UBND, 28/8/2023</t>
  </si>
  <si>
    <t>Cải tạo, nâng cấp đường giao thông liên xã Ea Khal, Ea Wy, Cư Amung</t>
  </si>
  <si>
    <t>4074/QĐ-UBND, ngày 19/12/2023</t>
  </si>
  <si>
    <t xml:space="preserve">HUYỆN LẮK </t>
  </si>
  <si>
    <t>Sửa chữa kênh N2 CTTL Buôn Triết, xã Buôn Triết, huyện Lắk</t>
  </si>
  <si>
    <t>2312/QĐ-UBND, ngày  13/6/2023</t>
  </si>
  <si>
    <t>HUYỆN BUÔN ĐÔN</t>
  </si>
  <si>
    <t>Cải tạo, nâng cấp đường giao thông từ Tỉnh lộ 1 vào khu du lịch Thanh Hà (Thác 7 nhánh), xã Ea Huar, huyện Buôn Đôn</t>
  </si>
  <si>
    <t>3301/QĐ-UBND, ngày 15/8/2023</t>
  </si>
  <si>
    <t xml:space="preserve">HUYỆN CƯ KUIN </t>
  </si>
  <si>
    <t>Cải tạo đường GT liên xã Ea Ktur đi xã Ea Ning (đoạn từ ngã 3 Ea Sim đến Hồ Viêt Đức 4), huyện Cư Kuin</t>
  </si>
  <si>
    <t>60/QĐ-UBND, ngày 13/01/2023</t>
  </si>
  <si>
    <t>Xây dựng hệ thống tiêu nước dọc đường lô cao su từ tỉnh lộ 10 đấu nối vào hệ thống thoát nước khu trung tâm hành chính huyện Cư Kuin</t>
  </si>
  <si>
    <t>2592/QĐ-UBND, ngày 26/9/2023</t>
  </si>
  <si>
    <t>Trụ sở Đảng ủy - HĐND - UBND và UBMTTQVN xã Ea Hu</t>
  </si>
  <si>
    <t>1898/QĐ-UBND, ngày 23/6/2023</t>
  </si>
  <si>
    <t>Trụ sở Đảng ủy - HĐND - UBND và UBMTTQVN xã Cư Êwi</t>
  </si>
  <si>
    <t>1816/QĐ-UBND, ngày 08/6/2023</t>
  </si>
  <si>
    <t xml:space="preserve">Cải tạo, nâng cấp đường GT từ thôn 1B đi thôn 19 xã Cư Êwi, huyện Cư Kuin </t>
  </si>
  <si>
    <t>1761/QĐ-UBND, 02/6/2023</t>
  </si>
  <si>
    <t xml:space="preserve">Nâng cấp, cải tạo Đường giao thông liên xã từ thôn 2 xã Ea Bhôk đến chợ An Bình xã Ea Hu, huyện Cư Kuin. </t>
  </si>
  <si>
    <t>1207/QĐ-UBND, ngày 17/5/2023</t>
  </si>
  <si>
    <t>Dự án Đầu tư xây dựng đường giao thông trục D2 (đường trục chính trung tâm) Cụm Công nghiệp Cư Kuin</t>
  </si>
  <si>
    <t>1999/QĐ-UBND, ngày 08/9/2022</t>
  </si>
  <si>
    <t xml:space="preserve">HUYỆN CƯM'GAR </t>
  </si>
  <si>
    <t>Cải tạo, nâng cấp đường giao thông từ thị trấn Quàng Phú đi xã Quảng Tiến và xã Ea M'nang, huyện Cư M'gar</t>
  </si>
  <si>
    <t>Cư  M'Gar</t>
  </si>
  <si>
    <t>4017/QĐ-UBND, ngày 15/8/2023</t>
  </si>
  <si>
    <t>Nâng cấp, nạo vét hồ Ea Trum, xã Cư Suê, huyện Cư M'gar</t>
  </si>
  <si>
    <t>1925/QĐ-UBND, ngày 16/5/2023</t>
  </si>
  <si>
    <t>Đập dâng Ea Chuar 2, thị trấn Ea Pốk, huyện Cư M'gar; Hạng mục: Đập dâng, cống đầu mối, kênh &amp; CTTK</t>
  </si>
  <si>
    <t>2012/QĐ-UBND, ngày 23/5/2023</t>
  </si>
  <si>
    <t>Nâng cấp, sửa chữa hồ Buôn Za Wầm, xã Ea Kiết, huyện Cư M'gar</t>
  </si>
  <si>
    <t>1924/QĐ-UBND, ngày 16/5/2023</t>
  </si>
  <si>
    <t>Đường giao thông liên xã Ea Đrơng đi xã Quảng Tiến, huyện Cư M'gar</t>
  </si>
  <si>
    <t>5820/QĐ-UBND, ngày 15/11/2023</t>
  </si>
  <si>
    <t>Trụ sở làm việc Đảng ủy, HĐND và UBND- xã Ea Kpam, huyện Cư M'Gar, hạng mục: Nhà làm việc 2 tầng, hạ tầng kỹ thuật</t>
  </si>
  <si>
    <t>926/QĐ-UBND, ngày 30/3/2023</t>
  </si>
  <si>
    <t>Cải tạo, nâng cấp hệ thống đường giao thông Buôn Lang, Buôn Mấp, thị trấn Ea Pốk, huyện Cư M'gar</t>
  </si>
  <si>
    <t>947a/QĐ-UBND, ngày 30/3/2023</t>
  </si>
  <si>
    <t xml:space="preserve">HUYỆN KRÔNG BÚK </t>
  </si>
  <si>
    <t>Đường GT từ Buôn Đrao đi thôn Ea Nguôi, xã Cư Né, huyện Krông Búk</t>
  </si>
  <si>
    <t>1335/QĐ-UBND, ngày 07/6/2023</t>
  </si>
  <si>
    <t>Đường giao thông liên xã từ thôn 6, xã Cư Né đi thôn Ea My, xã Ea Sin, huyện Krông Búk</t>
  </si>
  <si>
    <t>1123/QĐ-UBND, ngày 23/5/2023</t>
  </si>
  <si>
    <t>Hệ thống điện chiếu sáng tại khu trung tâm huyện trên tuyến đường N6 và đường Quốc lộ 14 , huyện Krông Búk</t>
  </si>
  <si>
    <t>1344/QĐ-UBND, ngày 08/6/2023</t>
  </si>
  <si>
    <t>Đầu tư kết cấu hạ tầng kỹ thuật Điểm dân cư nông thôn Buôn Mùi và Buôn Dhía, xã Cư Né, huyện Krông Búk</t>
  </si>
  <si>
    <t>1842/QĐ-UBND, ngày 02/8/2023</t>
  </si>
  <si>
    <t xml:space="preserve">HUYỆN KRÔNG PẮC </t>
  </si>
  <si>
    <t>Nâng cấp, sửa chữa đường giao thông từ trung tâm xã Krông Búk (QL26), huyện Krông Pắc đi xã Cư Huê, huyện Ea Kar</t>
  </si>
  <si>
    <t>2309/QĐ-UBND, ngày 31/5/2023</t>
  </si>
  <si>
    <t>Hệ thống kênh mương kênh T25, cánh đồng thôn Tân Lợi 1, buôn Đăk Rơ Leang 1, Đăk Rơ Leang 2 xã Ea Uy, huyện Krông Pắc</t>
  </si>
  <si>
    <t>2559/QĐ-UBND, ngày 19/6/2023</t>
  </si>
  <si>
    <t>Nâng cấp đường Trần Phú, thị trấn Phước An, huyện Krông Pắc</t>
  </si>
  <si>
    <t>1874/QĐ-UBND, ngày 24/4/2023</t>
  </si>
  <si>
    <t>Nâng cấp 7 tuyến đường nội thị trấn Phước An, huyện Krông Pắc</t>
  </si>
  <si>
    <t>2547/QĐ-UBND, ngày 15/6/2023</t>
  </si>
  <si>
    <t>Nâng cấp đường giao thông từ thôn 7, xã Ea Phê đi thôn 19, 20 xã Krông Buk, huyện Krông Pắc</t>
  </si>
  <si>
    <t>1816/QĐ-UBND, ngày 10/4/2023</t>
  </si>
  <si>
    <t>Ban QLDA ĐTXD Dân dụng và CN tỉnh</t>
  </si>
  <si>
    <t>San nền, đền bù và đầu tư một số trục đường (CN2, CN3, CN4 nối dài và CN12) - Khu công nghiệp Hòa Phú</t>
  </si>
  <si>
    <t>1088/QĐ-UBND ngày 13/6/2023</t>
  </si>
  <si>
    <t>Trụ sở làm việc của Ban quản lý các khu công nghiệp tỉnh</t>
  </si>
  <si>
    <t>1593/QĐ-UBND ngày 25/8/2023</t>
  </si>
  <si>
    <t xml:space="preserve">Trụ sở làm việc chi nhánh văn phòng Đăng ký đất đai huyện Buôn Đôn </t>
  </si>
  <si>
    <t>2364/QĐ-UBND, ngày 10/11/2023</t>
  </si>
  <si>
    <t>Sở Văn hóa thể thao và Du lịch</t>
  </si>
  <si>
    <t>Khu di tích lịch sử Sở Chỉ huy - Nơi công bố Quyết định thành lập Quân đoàn 3</t>
  </si>
  <si>
    <t>2037/QĐ-UBND, ngày 13/9/2022</t>
  </si>
  <si>
    <t>B</t>
  </si>
  <si>
    <t>Thông báo sau do chưa hoàn thiện thủ tục đầu tư</t>
  </si>
  <si>
    <t>Đường giao thông từ xã Ea Lê đi thôn Bình Lợi, xã Cư M’lan, huyện Ea Súp</t>
  </si>
  <si>
    <t>Xây dựng trạm bơm buôn trấp 6 và hệ thống kênh tưới khu vực Thác Đá, thị trấn Buôn Trấp, huyện Krông Ana</t>
  </si>
  <si>
    <t>Nâng cấp đường giao thông từ thị trấn Buôn Trấp đi Buôn Tơ Lơ, huyện Krông Ana</t>
  </si>
  <si>
    <t>Thảm nhựa các tuyến đường giao thông nội thị trấn Liên Sơn, huyện Lắk</t>
  </si>
  <si>
    <t>Kiên cố hóa kênh tưới cánh đồng đồi cao, cánh đồng 19/3, xã Ea Bar, huyện Buôn Đôn</t>
  </si>
  <si>
    <t>Chỉnh trang đô thị trung tâm huyện Buôn Đôn</t>
  </si>
  <si>
    <t xml:space="preserve">Dự án Hệ thống xử lý nước thải, đường giao thông bên trong Cụm Công nghiệp Krông Búk 1, huyện Krông Búk, </t>
  </si>
  <si>
    <t xml:space="preserve">Trụ sở làm việc liên hiệp các hội khoa học và kỹ thuật tỉnh Đắk Lắk: </t>
  </si>
  <si>
    <t>Trụ sở làm việc chi nhánh văn phòng Đăng ký đất đai huyện Ea Kar</t>
  </si>
  <si>
    <t>Trụ sở làm việc chi nhánh văn phòng Đăng ký đất đai huyện Cư M'Gar</t>
  </si>
  <si>
    <t>Cư M'ar</t>
  </si>
  <si>
    <t>Trường Trung cấp tỉnh Đắk Lắk. Hạng mục: Nhà thực hành; nhà đa chức năng và hạ tầng kỹ thuật</t>
  </si>
  <si>
    <t>Xây dựng trụ sở  làm việc của Chi cục thủy sản</t>
  </si>
  <si>
    <t>Trung tâm Hỗ trợ Phát triển Giáo dục hòa nhập Trẻ khuyết tật tỉnh Đắk Lắk; Hạng mục: Nhà lớp học, thư viện, các phòng chức năng và nhà lớp học bộ môn</t>
  </si>
  <si>
    <t xml:space="preserve">(CÁC DỰ ÁN TRỌNG ĐIỂM KHỞI CÔNG NĂM 2024-NGUỒN VỐN NGÂN SÁCH TỈNH) </t>
  </si>
  <si>
    <t>Kế hoạch giai đoạn 2021-2025 còn lại chưa giao</t>
  </si>
  <si>
    <t>Trong đó: vốn NST</t>
  </si>
  <si>
    <t>Đường giao thông phía tây Quốc lộ 14 (đoạn từ Quốc lộ 14 thuộc phường Đạt Hiếu đến suối A Jun, phường Thống Nhất), thị xã Buôn Hồ - giai đoạn 1</t>
  </si>
  <si>
    <t>TX B. Hồ</t>
  </si>
  <si>
    <t>3864/QĐ-UBND ngày 31/12/2021</t>
  </si>
  <si>
    <t>Đường Nguyễn Đình Chiểu nối dài, thành phố Buôn Ma Thuột</t>
  </si>
  <si>
    <t>Tờ trình số 258/TTr-UBND, 16/11/2020</t>
  </si>
  <si>
    <t>Ban QLDA ĐTXD CT DD và CN tỉnh Đắk Lắk</t>
  </si>
  <si>
    <t>3341/QĐ-UBND ngày 30/11/2021</t>
  </si>
  <si>
    <t xml:space="preserve">Đường từ Nguyễn Tri Phương nối dài đến đường Vành đai phía Tây, thành phố Buôn Ma Thuột </t>
  </si>
  <si>
    <t>2061/QĐ-UBND ngày 16/10/2023</t>
  </si>
  <si>
    <t>Đường Tôn Đức Thắng (đoạn từ Nguyễn Đình Chiểu đến đường Trần Khánh Dư và đoạn từ Phan Trọng Tuệ đến đường Lê Quý Đôn), thành phố Buôn Ma Thuột</t>
  </si>
  <si>
    <t>3852/QĐ-UBND, ngày 31/12/2021</t>
  </si>
  <si>
    <t>(CÁC DỰ ÁN KHỞI CÔNG NĂM 2024-NGUỒN VỐN NGÂN SÁCH TỈNH (THÔNG BÁO SAU))</t>
  </si>
  <si>
    <t>Số dự án</t>
  </si>
  <si>
    <t>Nhu cầu 2021-2025</t>
  </si>
  <si>
    <t>STT</t>
  </si>
  <si>
    <t>Tên dự án</t>
  </si>
  <si>
    <t>Địa điểm xây dựng</t>
  </si>
  <si>
    <t>Khởi công - hoàn thành</t>
  </si>
  <si>
    <t xml:space="preserve">Dự kiến tổng mức đầu tư </t>
  </si>
  <si>
    <t>Kế hoạch giai đoạn 2021-2025</t>
  </si>
  <si>
    <t xml:space="preserve">Năm 2026 </t>
  </si>
  <si>
    <t>Tổng tất cả các nguồn vốn</t>
  </si>
  <si>
    <t>NST</t>
  </si>
  <si>
    <t>NSH và nguồn vốn khác</t>
  </si>
  <si>
    <t>Ngân sách tỉnh</t>
  </si>
  <si>
    <t>TỔNG CỘNG</t>
  </si>
  <si>
    <t>Nâng cấp, sửa chữa kết hợp cải tạo cảnh quan xung quanh hồ Ông Diễn, phường An Lạc, thị xã Buôn Hồ</t>
  </si>
  <si>
    <t>HTDT</t>
  </si>
  <si>
    <t xml:space="preserve">Nâng cấp, cải tạo đường Nơ Trang Lơng, thị xã Buôn Hồ </t>
  </si>
  <si>
    <t>2021-2025</t>
  </si>
  <si>
    <t>Cải tạo, nâng cấp đường Phù Đổng Thiên Vương, phường Thống Nhất, thị xã Buôn Hồ đi xã Ea Tul, huyện Cư M'gar</t>
  </si>
  <si>
    <t>Đường Hải Triều, phường Đạt Hiếu (đoạn từ đường Trần Hưng Đạo đấu nối ra Quốc lộ 14)</t>
  </si>
  <si>
    <t>Đường vào khu hành chính phường Bình Tân, thị xã Buôn Hồ</t>
  </si>
  <si>
    <t xml:space="preserve">Nhà văn hóa thanh thiếu nhi thị xã Buôn Hồ (giai đoạn 1) </t>
  </si>
  <si>
    <t>VHTT</t>
  </si>
  <si>
    <t xml:space="preserve">HUYỆN MDRẮK </t>
  </si>
  <si>
    <t xml:space="preserve">Nâng cấp đường giao thông từ Quốc lộ 26 đi thôn Ea Bra, xã Ea Trang, huyện M'Drắk </t>
  </si>
  <si>
    <t>Ban QLDA ĐTXD huyện M'DRắk</t>
  </si>
  <si>
    <t>GT</t>
  </si>
  <si>
    <t xml:space="preserve">Nâng cấp đường giao thông liên thôn từ buôn M'Jui đi buôn M'o xã Ea Trang, huyện M'Drắk </t>
  </si>
  <si>
    <t>Cải tạo, nâng cấp đường vành đai phía tây nam Thị trấn M'Drắk, huyện M'Drắk</t>
  </si>
  <si>
    <t>Đường giao thông từ Tỉnh lộ 1 đi Làng Thanh niên lập nghiệp xã Ia Lốp, huyện Ea Súp (từ Km80+650 -:- Km83+600)</t>
  </si>
  <si>
    <t>Ban QLDA ĐTXD huyện Ea Súp</t>
  </si>
  <si>
    <t>Đường Chu Văn An - Nơ Trang Long - Hồ Xuân Hương, thị trấn Ea Súp, huyện Ea Súp</t>
  </si>
  <si>
    <t>Đường GT từ đường liên huyện Ea Súp - Cư Mgar đi khu sản xuất đồng bào dân tộc tại chỗ xã Cư Mlan, huyện Ea Súp</t>
  </si>
  <si>
    <t>Sửa chữa, nâng cấp kênh N8 thuộc hệ thống kênh chính Tây, công trình thủy lợi Ea Súp Thượng</t>
  </si>
  <si>
    <t>TL</t>
  </si>
  <si>
    <t>Hệ thống điện chiếu sáng công cộng các tuyến đường thị trấn Ea Súp.</t>
  </si>
  <si>
    <t>ĐCN</t>
  </si>
  <si>
    <t xml:space="preserve">Cải tạo nâng cấp các trục đường trung tâm thị trấn Krông Năng                                  </t>
  </si>
  <si>
    <t>Ban QLDA ĐTXD huyện Krông Năng</t>
  </si>
  <si>
    <t>Đường giao thông  Tam Bình Tam Thuận xã Cư Klông, huyện Krông Năng</t>
  </si>
  <si>
    <t>Sửa chữa, nâng cấp hồ chứa nước Đội 14, xã Phú Xuân, huyện Krông Năng</t>
  </si>
  <si>
    <t>Cải tạo đường vào khu du lịch thác Thủy Tiên, xã Ea Púk, huyện Krông Năng</t>
  </si>
  <si>
    <t>DL</t>
  </si>
  <si>
    <t>Xây dựng trụ sở làm việc UBND xã Ea Na, huyện Krông Ana</t>
  </si>
  <si>
    <t>Ban QLDA ĐTXD huyện Kr. Ana</t>
  </si>
  <si>
    <t>GDDT</t>
  </si>
  <si>
    <t>Đường giao thông ra khu sản xuất tập trung cánh đồng tháng 10, thị trấn Buôn Trấp, huyện Krông Ana</t>
  </si>
  <si>
    <t>Xây dựng trạm bơm Buôn Trấp 5 và hệ thống kênh tưới cánh đồng tháng 10, huyện Krông Ana</t>
  </si>
  <si>
    <t>Đường vào khu sản xuất phía Tây xã Drang Kang, huyện Krông Bông</t>
  </si>
  <si>
    <t>Ban QLDA ĐTXD huyện Kr. Bông</t>
  </si>
  <si>
    <t>Kiên cố hóa kênh mương công trình Trạm bơm thôn 6, xã Hòa Lễ huyện Krông Bông</t>
  </si>
  <si>
    <t>Kiên cố hóa kênh mương công trình trạm bơm Buôn Cư Mil, xã Ea Trul, huyện Krông Bông</t>
  </si>
  <si>
    <t>Trường THPT Trần Hưng Đạo, huyện Krông Bông; Hạng mục: Nhà lớp học 8 phòng, nhà bộ môn kết hợp các phòng chức năng, nhà đa chức năng, sân bê tông</t>
  </si>
  <si>
    <t>Trụ Sở làm việc Đảng ủy, HĐND-UBND- UBMT Tổ quốc  xã Cư Pui, huyện Krông Bông</t>
  </si>
  <si>
    <t>Dự án Đường giao thông đối ngoại và đường trục chính Cụm Công nghiệp Hòa Sơn, huyện Krông Bông</t>
  </si>
  <si>
    <t>08/NQ-HĐND ngày 15/4/2022</t>
  </si>
  <si>
    <t xml:space="preserve"> Đường giao thông thôn 7a, 7b, 7c đi trung tâm xã Ea Hiao, huyện Ea H'Leo </t>
  </si>
  <si>
    <t>Ban QLDA ĐTXD huyện Ea H'leo</t>
  </si>
  <si>
    <t>Cải tạo, nâng cấp đường giao thông liên xã Ea Wy - Cư Mốt - Ea Khal, huyện Ea H'Leo</t>
  </si>
  <si>
    <t xml:space="preserve">Thủy lợi Ea Khal hạ, xã Ea Tir, huyện Ea H'Leo </t>
  </si>
  <si>
    <t>Đập sình mây, xã  Cư Amung, huyện Ea H'leo</t>
  </si>
  <si>
    <t>Cải tạo, nâng cấp Đường giao thông liên huyện Ea H'Leo - Cư Mgar</t>
  </si>
  <si>
    <t>Trụ sở làm việc Đảng ủy, HĐND - UBND xã Ea Nam, huyện Ea H'Leo</t>
  </si>
  <si>
    <t>QLNN</t>
  </si>
  <si>
    <t>Dự án Đầu tư xây dựng cơ sở hạ tầng Cụm Công nghiệp Ea Ral, huyện Ea H’leo, tỉnh Đắk Lắk (giai đoạn 1)</t>
  </si>
  <si>
    <t>Nâng cấp, mở rộng hoa viên tượng đài chiến thắng huyện Lắk</t>
  </si>
  <si>
    <t>Ban QLDA ĐTXD huyện Lắk</t>
  </si>
  <si>
    <t>Đường giao thông liên xã Đắk Phơi - Đắk Nuê, huyện Lắk</t>
  </si>
  <si>
    <t>Đường giao thông liên xã Yang Tao - Đắk Liêng  (Km5+500- cuối tuyến), huyện Lắk</t>
  </si>
  <si>
    <t>Đường ven hồ Lắk đoạn từ đường liên xã Yang Tao - Đắk Liêng đến buôn Bhôk, xã Yang Tao, huyện Lắk</t>
  </si>
  <si>
    <t>Cải tạo, nâng cấp đường giao thông từ Km2+500 Tỉnh lộ 1, xã Ea Nuôl huyện Buôn Đôn đi xã Hòa Xuân, thành phố Buôn Ma Thuột</t>
  </si>
  <si>
    <t>Ban QLDA ĐTXD huyện B. Đôn</t>
  </si>
  <si>
    <t>Cải tạo, nâng cấp đường giao thông liên xã Ea Nuôl, huyện Buôn Đôn đi xã Hoà Xuân, thành phố Buôn Ma Thuột</t>
  </si>
  <si>
    <t>Hội trường liên cơ quan huyện Buôn Đôn</t>
  </si>
  <si>
    <t>Hệ thống điện chiếu sáng từ ngã 3 Cây Gòn đi chợ Việt Đức 3, xã Ea Bhốk, huyện Cư Kuin</t>
  </si>
  <si>
    <t>Ban QLDA ĐTXD huyện Cư Kuin</t>
  </si>
  <si>
    <t>Trung tâm Truyền thông - Văn hóa - Thể thao huyện Cư Kuin; Hạng mục: Nhà thi đấu thể thao, nhà bảo vệ, cổng tường rào và hạ tầng kỹ thuật</t>
  </si>
  <si>
    <t>Dự án Xây dựng nhà máy xử lý nước thải tập trung Cụm Công nghiệp Cư Kuin</t>
  </si>
  <si>
    <t>Đập dâng Ea Drơng, xã Ea Drơng, huyện Cư M'gar; Hạng mục: Đập dâng - Cống đầu mối - Kênh &amp; CTTK</t>
  </si>
  <si>
    <t>Ban QLDA ĐTXD huyện Cư M'Gar</t>
  </si>
  <si>
    <t>Sửa chữa, nâng cấp đường giao thông từ xã Ea M'nang, huyện Cư M‘gar đi xă Ea Bar, huyện Buôn Đòn</t>
  </si>
  <si>
    <t>Đường giao thông liên xã Ea Tul đi Ea Drơng, huyện Cư M'gar</t>
  </si>
  <si>
    <t>Đường giao thông liên xã Cư M'gar đi xã Ea H'Đing, huyện Cư M'gar</t>
  </si>
  <si>
    <t>Cải tạo, nâng cấp hệ thống thoát nước đường Hùng Vương (Đoạn từ đường Trần Kiên đến đường Lý Thường Kiệt) TT Quảng Phú, huyện Cư M'gar</t>
  </si>
  <si>
    <t>Đập đầu suối Ea Súp, xã Pơng Drang, huyện Krông Búk</t>
  </si>
  <si>
    <t>Ban QLDA ĐTXD huyện Kr. Búk</t>
  </si>
  <si>
    <t>Đường giao thông trục D4 thuộc khu trung tâm hành chính huyện Krông Búk</t>
  </si>
  <si>
    <t>Trung tâm Truyền thông - Văn hóa - Thể thao huyện Krông Búk; Hạng mục: Nhà biểu diễn 500 chỗ và hạ tầng kỹ thuật</t>
  </si>
  <si>
    <t>Nâng cấp, sửa chữa đường giao thông liên xã Ea Kênh huyện Krông Pắc đi xã Cư Bao, thị xã Buôn Hồ</t>
  </si>
  <si>
    <t>Ban QLDA ĐTXD huyện Kr. Pắc</t>
  </si>
  <si>
    <t>Kiên cố hóa kênh mương từ trạm bơm Tong Ting đi cánh đồng hồ Tong Ting và cánh đồng Hòa Hiệp, buôn Ea Mao, xã Ea Yiêng</t>
  </si>
  <si>
    <t>Trụ sở HĐND &amp; UBND xã Hoà Tiến, huyện Krông Pắc</t>
  </si>
  <si>
    <t>``</t>
  </si>
  <si>
    <t>Nhà thi đấu thể dục thể thao huyện Krông Pắc</t>
  </si>
  <si>
    <t>Sở Nông nghiệp và Phát triển nông thôn</t>
  </si>
  <si>
    <t>Ứng dụng công nghệ cao trong công tác quản lý, giám sát tài nguyên rừng tỉnh Đắk Lắk</t>
  </si>
  <si>
    <t>Chi cục Kiểm lâm</t>
  </si>
  <si>
    <t>Xây dựng đường tuần tra khu bảo tồn thiên nhiên Ea Sô (đoạn từ trạm số 5 đến trạm số 6)</t>
  </si>
  <si>
    <t xml:space="preserve"> Ban Quản lý khu bảo tồn thiên nhiên Ea Sô</t>
  </si>
  <si>
    <t>Tu bổ, tôn tạo di tích lịch sử quốc gia đặc biệt Nhà đày Buôn Ma Thuột</t>
  </si>
  <si>
    <t>Phục dựng và đầu tư Di tích quốc gia Khu kháng chiến tỉnh Đắk Lắk (1965-1975) huyện Krông Bông, tỉnh Đắk Lắk</t>
  </si>
  <si>
    <t>(CÁC DỰ ÁN ODA BỐ TRÍ KẾ HOẠCH TỪ NGUỒN VỐN NGÂN SÁCH TỈNH VÀ VAY LẠI NĂM 2024)</t>
  </si>
  <si>
    <t xml:space="preserve">Nhóm dự án </t>
  </si>
  <si>
    <t>Nhà tài trợ</t>
  </si>
  <si>
    <t>Ngày ký kết hiệp định</t>
  </si>
  <si>
    <t>Ngày kết thúc Hiệp định</t>
  </si>
  <si>
    <t xml:space="preserve">Địa điểm xây dựng </t>
  </si>
  <si>
    <t>Quyết định đầu tư ban đầu</t>
  </si>
  <si>
    <t>Năm 2023</t>
  </si>
  <si>
    <t>Kế hoạch đầu tư trung hạn vốn NSTW giai đoạn 2021-2025</t>
  </si>
  <si>
    <t xml:space="preserve">Số quyết định </t>
  </si>
  <si>
    <t xml:space="preserve">Trong đó: </t>
  </si>
  <si>
    <t>Kế hoạch vốn NSTW; NSĐP</t>
  </si>
  <si>
    <t>Ước giải ngân từ 01/01/2023 đến 30/9/2023</t>
  </si>
  <si>
    <t>Ước giải ngân từ 01/01/2023 đến 31/12/2023</t>
  </si>
  <si>
    <t>Trong đó: Đã giao năm 2021,2022,2023</t>
  </si>
  <si>
    <r>
      <t>Vốn đối ứng</t>
    </r>
    <r>
      <rPr>
        <vertAlign val="superscript"/>
        <sz val="10"/>
        <rFont val="Times New Roman"/>
        <family val="1"/>
      </rPr>
      <t>(2)</t>
    </r>
  </si>
  <si>
    <r>
      <t>Vốn nước ngoài (theo Hiệp định)</t>
    </r>
    <r>
      <rPr>
        <vertAlign val="superscript"/>
        <sz val="10"/>
        <rFont val="Times New Roman"/>
        <family val="1"/>
      </rPr>
      <t>(3)</t>
    </r>
  </si>
  <si>
    <t>Trong đó: Đối ứng NS tỉnh</t>
  </si>
  <si>
    <t>Vốn vay lại</t>
  </si>
  <si>
    <t>Đối ứng (NSĐP)</t>
  </si>
  <si>
    <t>Vốn nước ngoài</t>
  </si>
  <si>
    <t xml:space="preserve">Đối ứng </t>
  </si>
  <si>
    <t>Vốn đối ứng nguồn NSTW, NSĐP</t>
  </si>
  <si>
    <t>Vốn nước ngoài (vốn NSTW)</t>
  </si>
  <si>
    <t>Trong đó: vốn NSTW</t>
  </si>
  <si>
    <t>Tính bằng nguyên tệ</t>
  </si>
  <si>
    <t>Quy đổi ra tiền Việt</t>
  </si>
  <si>
    <t>Đưa vào cân đối NSTW</t>
  </si>
  <si>
    <t>Vay lại</t>
  </si>
  <si>
    <t>TỔNG SỐ</t>
  </si>
  <si>
    <t>VỐN NƯỚC NGOÀI KHÔNG GIẢI NGÂN THEO CƠ CHẾ TÀI CHÍNH TRONG NƯỚC</t>
  </si>
  <si>
    <t>Ngành, Lĩnh vực/Chương trình.......</t>
  </si>
  <si>
    <t>Danh mục dự án hoàn thành, bàn giao, đưa vào sử dụng đến ngày 31/12/2023</t>
  </si>
  <si>
    <t>(1)</t>
  </si>
  <si>
    <t>Dự án ...</t>
  </si>
  <si>
    <t>(2)</t>
  </si>
  <si>
    <t>Tiểu dự án nâng cấp, xây dựng hệ thống thủy lợi phục vụ nước tưới cho cây trồng cạn tỉnh Đắk Lắk, dự án Nâng cao hiệu quả sử dụng nước cho các tỉnh bị ảnh hưởng bởi hạn hán</t>
  </si>
  <si>
    <t>ADB</t>
  </si>
  <si>
    <t>28/12/2018</t>
  </si>
  <si>
    <t>28/12/2025</t>
  </si>
  <si>
    <t>Ban QLDA ĐT XDCT GT và NN PTNT tỉnh</t>
  </si>
  <si>
    <t>727/QĐ-TTg ngày 28/4/2016; 770/QĐ-UBND, 08/4/2019; 06/QĐ-UBND, 03/01/2019</t>
  </si>
  <si>
    <t>Dự án Tăng cường khả năng chống chịu của nông nghiệp quy mô nhỏ với an ninh nguồn nước do biến đổi khí hậu  khu vực Tây Nguyên và Nam Trung Bộ, tỉnh Đắk Lắk</t>
  </si>
  <si>
    <t>UNDP; GCF</t>
  </si>
  <si>
    <t>09/6/2020</t>
  </si>
  <si>
    <t>09/6/2026</t>
  </si>
  <si>
    <t>Sở NN&amp;PTNT</t>
  </si>
  <si>
    <t>739/QĐ-TTg ngày 20/5/2021; 1219/QĐ-UBND ngày 21/5/2021</t>
  </si>
  <si>
    <t>Dự án hỗ trợ phát triển khu vực biên giới - Tiểu dự án tỉnh Đắk Lắk</t>
  </si>
  <si>
    <t>04/5/2017</t>
  </si>
  <si>
    <t>30/6/2023; đang xin gia hạn 30/6/2024</t>
  </si>
  <si>
    <t>03 huyện</t>
  </si>
  <si>
    <t>Sở KH&amp;ĐT</t>
  </si>
  <si>
    <t>2233/QĐ-UBND, ngày 03/10/2022</t>
  </si>
  <si>
    <t>22 triệu USD</t>
  </si>
  <si>
    <t xml:space="preserve">Dự án sữa chữa và nâng cao an toàn đập (WB) </t>
  </si>
  <si>
    <t>WB</t>
  </si>
  <si>
    <t>30/6/2023</t>
  </si>
  <si>
    <t>2309/QĐ-UBND ngày 21/9/2018;4638/QĐ-BNN-HTQT ngày 09/11/2015</t>
  </si>
  <si>
    <t>Dự án Tăng cường quản lý đất đai và cơ sở dữ liệu đất đai</t>
  </si>
  <si>
    <t>Sở Tài nguyên và Môi trường</t>
  </si>
  <si>
    <t>1236/QĐ-BTNMT ngày 30/5/2016; 208/BTNMT-Th ngày 13/01/2017; 615/QĐ-UBND ngày 17/3/2017;</t>
  </si>
  <si>
    <t>1236/QĐ-BTNMT ngày 30/5/2016; 208/BTNMT-Th ngày 13/01/2017; 615/QĐ-UBND ngày 17/3/2017;3381/QĐ-UBND ngày 31/12/2021</t>
  </si>
  <si>
    <t>(CÁC DỰ ÁN ĐƯỢC HỖ TRỢ, ƯU ĐÃI CỦA NHÀ NƯỚC ĐỐI VỚI KINH TẾ TẬP THỂ, HỢP TÁC XÃ TRONG KẾ HOẠCH NĂM 2024- NGUỒN VỐN NGÂN SÁCH TỈNH)</t>
  </si>
  <si>
    <t>HTX</t>
  </si>
  <si>
    <t>Kế hoạch năm 2023 đã giao</t>
  </si>
  <si>
    <t xml:space="preserve"> Trung ương cân đối vốn ĐTPT trong nước</t>
  </si>
  <si>
    <t>Nguồn thu tiền sử dụng đất</t>
  </si>
  <si>
    <t>NSH</t>
  </si>
  <si>
    <t>Ngân sách xã</t>
  </si>
  <si>
    <t>Vốn đóng góp của HTX</t>
  </si>
  <si>
    <t>Đầu tư đường trục chính giao thông nội đồng vùng sản xuất và mua sắm thiết bị cày đất phục vụ sản xuất cho Hợp tác xã nông lâm nghiệp dịch vụ Trường Xuân, huyện Ea Kar</t>
  </si>
  <si>
    <t>Hợp tác xã nông lâm nghiệp dịch vụ Trường Xuân, huyện Ea Kar</t>
  </si>
  <si>
    <t>Xã Ea Tih huyện Ea Kar</t>
  </si>
  <si>
    <t>UBND xã Ea Tih, huyện Ea Kar</t>
  </si>
  <si>
    <t xml:space="preserve"> 648/QĐ-UBND, 7/10/2022 của UBND H. Ea Kar</t>
  </si>
  <si>
    <t>Đường trục chính giao thông nội đồng thuộc Hợp tác xã nông nghiệp 714</t>
  </si>
  <si>
    <t>Hợp tác xã nông nghiệp 714</t>
  </si>
  <si>
    <t xml:space="preserve"> Thôn 12, Xã Ea Pal huyện Ea Kar</t>
  </si>
  <si>
    <t>Ban QLDA ĐTXD huyện Ea Kar</t>
  </si>
  <si>
    <t>238/QĐ-UBND, ngày 17/5/2023</t>
  </si>
  <si>
    <t>Đầu tư đường trục chính giao thông nội đồng tại cánh đồng lúa Buôn Tung 1 thuộc Hợp tác xã SX và DV NNN Thái Hải, Buôn Triết huyện Lắk</t>
  </si>
  <si>
    <t>Hợp tác xã SX và DV NNN Thái Hải, Buôn Triết huyện Lắk</t>
  </si>
  <si>
    <t>Buôn Triết huyện Lắk</t>
  </si>
  <si>
    <t>UBND xã Buôn Triết huyện Lắk</t>
  </si>
  <si>
    <t xml:space="preserve"> 4243/QĐ-UBND, 16/9/2022 của UBND H. Lắk</t>
  </si>
  <si>
    <t>Đầu tư đường trục chính giao thông nội đồng tại cánh đồng lúa thôn Đông Giang thuộc Hợp tác xã sản xuất thương mại nông lâm ngư nghiệp Thiên Phú, Buôn Tría huyện Lắk</t>
  </si>
  <si>
    <t>Hợp tác xã sản xuất thương mại nông lâm ngư nghiệp Thiên Phú, Buôn Tría huyện Lắk</t>
  </si>
  <si>
    <t>Buôn Tría huyện Lắk</t>
  </si>
  <si>
    <t>UBND xã Buôn Tría huyện Lắk</t>
  </si>
  <si>
    <t xml:space="preserve"> 4244/QĐ-UBND ngày 16/9/2022 của UBND H. Lắk</t>
  </si>
  <si>
    <t>Đầu tư xây dựng mới trạm bơm T21 tại cánh đồng B thuộc Hợp tác xã DVNN Điện Bàn, huyện Krông Ana</t>
  </si>
  <si>
    <t>Hợp tác xã DVNN Điện Bàn, huyện Krông Ana</t>
  </si>
  <si>
    <t xml:space="preserve"> Xã Quảng Điền, huyện Krông Ana</t>
  </si>
  <si>
    <t>UBND Xã Quảng Điền, huyện Krông Ana</t>
  </si>
  <si>
    <t xml:space="preserve"> 3202/QĐ-UBND ngày 25/11/2022 của UBND H. Kr. Ana</t>
  </si>
  <si>
    <t>Đầu tư đường trục chính nội đồng cánh đồng Buôn Krông thuộc Hợp tác xã DVNN Thanh Bình, huyện Krông Ana</t>
  </si>
  <si>
    <t>Hợp tác xã DVNN Thanh Bình, huyện Krông Ana</t>
  </si>
  <si>
    <t xml:space="preserve">xã DurKmăl, huyện Krông Ana </t>
  </si>
  <si>
    <t xml:space="preserve">UBND xã DurKmăl, huyện Krông Ana </t>
  </si>
  <si>
    <t xml:space="preserve"> 3201/QĐ-UBND, 25/11/2022 của UBND H. Kr. Ana</t>
  </si>
  <si>
    <t>Mua sắm, lắp đặt thiết bị, vật tư, hệ thống chuồng lạnh trang chăn nuôi gà cho Hợp tác xã sản xuất kinh doanh nông nghiệp Quân Vương Đắk Lắk, huyện Buôn Đôn</t>
  </si>
  <si>
    <t>Hợp tác xã sản xuất kinh doanh nông nghiệp Quân Vương Đắk Lắk</t>
  </si>
  <si>
    <t>Xã Ea Nuôl, huyện Buôn Đôn</t>
  </si>
  <si>
    <t>UBND xã  Ea Nuôl, huyện Buôn Đôn</t>
  </si>
  <si>
    <t>47/QĐ-UBND, ngày 11/01/2022</t>
  </si>
  <si>
    <t>(BỔ SUNG CÓ MỤC TIÊU CHO NGÂN SÁCH CẤP HUYỆN ĐỂ ĐẦU TƯ XÂY DỰNG TRƯỜNG HỌC THEO PHÂN CẤP
 - NGUỒN VỐN NGÂN SÁCH TỈNH  NĂM 2024)</t>
  </si>
  <si>
    <t>ĐVT. Triệu đồng</t>
  </si>
  <si>
    <t>Tên đơn vị</t>
  </si>
  <si>
    <t>Loại huyện</t>
  </si>
  <si>
    <t>Kế hoạch 2024</t>
  </si>
  <si>
    <t>Nguồn vốn xổ số kiến thiết</t>
  </si>
  <si>
    <t>Hỗ trợ xây dựng mầm non</t>
  </si>
  <si>
    <t>Hỗ trợ XD trường chuẩn quốc gia từ Mầm non đến THCS gắn với đổi mới Chương trình sách giáo khoa và xây dựng nông thôn mới</t>
  </si>
  <si>
    <t>Thành phố Buôn Ma Thuột</t>
  </si>
  <si>
    <t>Krông Năng</t>
  </si>
  <si>
    <t>Thị xã Buôn Hồ</t>
  </si>
  <si>
    <t>Buôn Đôn</t>
  </si>
  <si>
    <t>M'Đrắk</t>
  </si>
  <si>
    <t>Krông Pắc</t>
  </si>
  <si>
    <t>Krông Ana</t>
  </si>
  <si>
    <t>Krông Bông</t>
  </si>
  <si>
    <t>Krông Búk</t>
  </si>
  <si>
    <t>Ý KIẾN CỦA PGĐ PHỤ TRÁCH</t>
  </si>
  <si>
    <t>TRƯỞNG PHÒNG KHOA GIÁO - VĂN XÃ</t>
  </si>
  <si>
    <t>Võ Ngọc Tuyên</t>
  </si>
  <si>
    <t>Nguyễn Hữu Phúc</t>
  </si>
  <si>
    <t>Biểu số 45.1/CK-NSNN</t>
  </si>
  <si>
    <t>(Dự toán trình Hội đồng nhân dân)</t>
  </si>
  <si>
    <t>Biểu số 45.2/CK-NSNN</t>
  </si>
  <si>
    <t>Biểu số 45.3/CK-NSNN</t>
  </si>
  <si>
    <t>Biểu số 45.5/CK-NSNN</t>
  </si>
  <si>
    <t>Biểu số 45.4/CK-NSNN</t>
  </si>
  <si>
    <t>Biểu số 45.6/CK-NSNN</t>
  </si>
  <si>
    <t>Biểu số 45.7/CK-NSNN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</si>
</sst>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_(* #,##0_);_(* \(#,##0\);_(* &quot;-&quot;??_);_(@_)"/>
    <numFmt numFmtId="166" formatCode="_-* #,##0\ _₫_-;\-* #,##0\ _₫_-;_-* &quot;-&quot;??\ _₫_-;_-@_-"/>
    <numFmt numFmtId="167" formatCode="_-* #,##0.00_-;\-* #,##0.00_-;_-* &quot;-&quot;??_-;_-@_-"/>
    <numFmt numFmtId="168" formatCode="0.000"/>
  </numFmts>
  <fonts count="58" x14ac:knownFonts="1">
    <font>
      <sz val="11"/>
      <color theme="1"/>
      <name val="Calibri"/>
      <family val="2"/>
      <scheme val="minor"/>
    </font>
    <font>
      <sz val="11"/>
      <color theme="1"/>
      <name val="Calibri"/>
      <family val="2"/>
      <scheme val="minor"/>
    </font>
    <font>
      <sz val="10"/>
      <name val="Arial"/>
      <family val="2"/>
    </font>
    <font>
      <b/>
      <sz val="12"/>
      <name val="Times New Roman"/>
      <family val="1"/>
    </font>
    <font>
      <sz val="14"/>
      <name val="Times New Roman"/>
      <family val="1"/>
    </font>
    <font>
      <i/>
      <sz val="12"/>
      <name val="Times New Roman"/>
      <family val="1"/>
    </font>
    <font>
      <sz val="14"/>
      <color indexed="9"/>
      <name val="Times New Roman"/>
      <family val="1"/>
    </font>
    <font>
      <sz val="10"/>
      <name val="Times New Roman"/>
      <family val="1"/>
    </font>
    <font>
      <sz val="10"/>
      <color theme="1"/>
      <name val="Calibri"/>
      <family val="2"/>
      <scheme val="minor"/>
    </font>
    <font>
      <i/>
      <sz val="10"/>
      <name val="Times New Roman"/>
      <family val="1"/>
    </font>
    <font>
      <sz val="8"/>
      <name val="Times New Roman"/>
      <family val="1"/>
    </font>
    <font>
      <b/>
      <sz val="10"/>
      <name val="Times New Roman"/>
      <family val="1"/>
    </font>
    <font>
      <b/>
      <sz val="8"/>
      <name val="Times New Roman"/>
      <family val="1"/>
    </font>
    <font>
      <sz val="11"/>
      <color indexed="8"/>
      <name val="Calibri"/>
      <family val="2"/>
    </font>
    <font>
      <b/>
      <sz val="14"/>
      <name val="Times New Roman"/>
      <family val="1"/>
    </font>
    <font>
      <b/>
      <sz val="10"/>
      <color theme="1"/>
      <name val="Times New Roman"/>
      <family val="1"/>
    </font>
    <font>
      <b/>
      <i/>
      <sz val="10"/>
      <name val="Times New Roman"/>
      <family val="1"/>
    </font>
    <font>
      <i/>
      <sz val="8"/>
      <name val="Times New Roman"/>
      <family val="1"/>
    </font>
    <font>
      <b/>
      <i/>
      <sz val="8"/>
      <name val="Times New Roman"/>
      <family val="1"/>
    </font>
    <font>
      <sz val="11"/>
      <name val="Calibri"/>
      <family val="2"/>
      <scheme val="minor"/>
    </font>
    <font>
      <sz val="12"/>
      <color theme="1"/>
      <name val="Times New Roman"/>
      <family val="2"/>
    </font>
    <font>
      <sz val="8"/>
      <color theme="1"/>
      <name val="Times New Roman"/>
      <family val="1"/>
    </font>
    <font>
      <b/>
      <i/>
      <sz val="14"/>
      <name val="Times New Roman"/>
      <family val="1"/>
    </font>
    <font>
      <sz val="10"/>
      <color theme="1"/>
      <name val="Times New Roman"/>
      <family val="1"/>
    </font>
    <font>
      <b/>
      <i/>
      <sz val="10"/>
      <color theme="1"/>
      <name val="Times New Roman"/>
      <family val="1"/>
    </font>
    <font>
      <sz val="11"/>
      <name val="Times New Roman"/>
      <family val="1"/>
    </font>
    <font>
      <sz val="9"/>
      <name val="Times New Roman"/>
      <family val="1"/>
    </font>
    <font>
      <i/>
      <sz val="14"/>
      <name val="Times New Roman"/>
      <family val="1"/>
    </font>
    <font>
      <b/>
      <i/>
      <sz val="8"/>
      <color theme="1"/>
      <name val="Times New Roman"/>
      <family val="1"/>
    </font>
    <font>
      <i/>
      <sz val="11"/>
      <name val="Times New Roman"/>
      <family val="1"/>
    </font>
    <font>
      <b/>
      <sz val="14"/>
      <color rgb="FFFF0000"/>
      <name val="Times New Roman"/>
      <family val="1"/>
    </font>
    <font>
      <sz val="10"/>
      <color rgb="FFFFFFFF"/>
      <name val="Times New Roman"/>
      <family val="1"/>
    </font>
    <font>
      <sz val="12"/>
      <name val="Times New Roman"/>
      <family val="1"/>
    </font>
    <font>
      <sz val="12"/>
      <name val="Calibri"/>
      <family val="2"/>
      <scheme val="minor"/>
    </font>
    <font>
      <i/>
      <sz val="12"/>
      <name val="Calibri"/>
      <family val="2"/>
      <scheme val="minor"/>
    </font>
    <font>
      <i/>
      <sz val="11"/>
      <name val="Calibri"/>
      <family val="2"/>
      <scheme val="minor"/>
    </font>
    <font>
      <b/>
      <sz val="14"/>
      <name val="Calibri"/>
      <family val="2"/>
      <scheme val="minor"/>
    </font>
    <font>
      <sz val="14"/>
      <name val="Calibri"/>
      <family val="2"/>
      <scheme val="minor"/>
    </font>
    <font>
      <b/>
      <sz val="11"/>
      <name val="Calibri"/>
      <family val="2"/>
      <scheme val="minor"/>
    </font>
    <font>
      <b/>
      <sz val="11"/>
      <name val="Times New Roman"/>
      <family val="1"/>
    </font>
    <font>
      <b/>
      <sz val="11"/>
      <color rgb="FFFFFFFF"/>
      <name val="Times New Roman"/>
      <family val="1"/>
    </font>
    <font>
      <sz val="11"/>
      <color rgb="FFFFFFFF"/>
      <name val="Times New Roman"/>
      <family val="1"/>
    </font>
    <font>
      <i/>
      <sz val="12"/>
      <color theme="1"/>
      <name val="Times New Roman"/>
      <family val="1"/>
    </font>
    <font>
      <vertAlign val="superscript"/>
      <sz val="10"/>
      <name val="Times New Roman"/>
      <family val="1"/>
    </font>
    <font>
      <sz val="10"/>
      <color rgb="FFFF0000"/>
      <name val="Times New Roman"/>
      <family val="1"/>
    </font>
    <font>
      <sz val="12"/>
      <name val="Times New Roman"/>
      <family val="1"/>
      <charset val="163"/>
    </font>
    <font>
      <sz val="10.5"/>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2"/>
      <color rgb="FFFF0000"/>
      <name val="Times New Roman"/>
      <family val="1"/>
    </font>
    <font>
      <i/>
      <sz val="12"/>
      <color rgb="FFFF0000"/>
      <name val="Times New Roman"/>
      <family val="1"/>
    </font>
    <font>
      <b/>
      <sz val="9"/>
      <color indexed="81"/>
      <name val="Tahoma"/>
      <family val="2"/>
    </font>
    <font>
      <sz val="9"/>
      <color indexed="81"/>
      <name val="Tahoma"/>
      <family val="2"/>
    </font>
    <font>
      <b/>
      <sz val="13"/>
      <name val="Times New Roman"/>
      <family val="1"/>
    </font>
    <font>
      <sz val="13"/>
      <name val="Times New Roman"/>
      <family val="1"/>
    </font>
    <font>
      <b/>
      <i/>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6">
    <xf numFmtId="0" fontId="0" fillId="0" borderId="0"/>
    <xf numFmtId="167" fontId="1" fillId="0" borderId="0" applyFont="0" applyFill="0" applyBorder="0" applyAlignment="0" applyProtection="0"/>
    <xf numFmtId="0" fontId="2" fillId="0" borderId="0"/>
    <xf numFmtId="0" fontId="1" fillId="0" borderId="0"/>
    <xf numFmtId="0" fontId="7" fillId="0" borderId="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20" fillId="0" borderId="0"/>
    <xf numFmtId="43" fontId="13"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0" fontId="45" fillId="0" borderId="0"/>
    <xf numFmtId="43" fontId="2" fillId="0" borderId="0" applyFont="0" applyFill="0" applyBorder="0" applyAlignment="0" applyProtection="0"/>
  </cellStyleXfs>
  <cellXfs count="397">
    <xf numFmtId="0" fontId="0" fillId="0" borderId="0" xfId="0"/>
    <xf numFmtId="1" fontId="3" fillId="0" borderId="0" xfId="2" applyNumberFormat="1" applyFont="1" applyAlignment="1">
      <alignment vertical="center" wrapText="1"/>
    </xf>
    <xf numFmtId="1" fontId="4" fillId="0" borderId="0" xfId="2" applyNumberFormat="1" applyFont="1" applyAlignment="1">
      <alignment vertical="center"/>
    </xf>
    <xf numFmtId="1" fontId="6" fillId="0" borderId="0" xfId="2" applyNumberFormat="1" applyFont="1" applyAlignment="1">
      <alignment vertical="center"/>
    </xf>
    <xf numFmtId="3" fontId="7" fillId="0" borderId="2" xfId="2" applyNumberFormat="1" applyFont="1" applyBorder="1" applyAlignment="1">
      <alignment horizontal="center" vertical="center" wrapText="1"/>
    </xf>
    <xf numFmtId="3" fontId="4" fillId="0" borderId="0" xfId="2" applyNumberFormat="1" applyFont="1" applyAlignment="1">
      <alignment horizontal="center" vertical="center" wrapText="1"/>
    </xf>
    <xf numFmtId="3" fontId="9" fillId="0" borderId="2" xfId="2" applyNumberFormat="1" applyFont="1" applyBorder="1" applyAlignment="1">
      <alignment horizontal="center" vertical="center" wrapText="1"/>
    </xf>
    <xf numFmtId="3" fontId="7" fillId="0" borderId="0" xfId="2" applyNumberFormat="1" applyFont="1" applyAlignment="1">
      <alignment horizontal="center" vertical="center" wrapText="1"/>
    </xf>
    <xf numFmtId="3" fontId="7" fillId="0" borderId="13" xfId="2" quotePrefix="1" applyNumberFormat="1" applyFont="1" applyBorder="1" applyAlignment="1">
      <alignment horizontal="center" vertical="center" wrapText="1"/>
    </xf>
    <xf numFmtId="3" fontId="10" fillId="0" borderId="13" xfId="2" quotePrefix="1" applyNumberFormat="1" applyFont="1" applyBorder="1" applyAlignment="1">
      <alignment horizontal="center" vertical="center" wrapText="1"/>
    </xf>
    <xf numFmtId="3" fontId="9" fillId="0" borderId="13" xfId="2" quotePrefix="1" applyNumberFormat="1" applyFont="1" applyBorder="1" applyAlignment="1">
      <alignment horizontal="center" vertical="center" wrapText="1"/>
    </xf>
    <xf numFmtId="3" fontId="7" fillId="0" borderId="13" xfId="2" applyNumberFormat="1" applyFont="1" applyBorder="1" applyAlignment="1">
      <alignment horizontal="center" vertical="center" wrapText="1"/>
    </xf>
    <xf numFmtId="3" fontId="7" fillId="0" borderId="0" xfId="2" applyNumberFormat="1" applyFont="1" applyAlignment="1">
      <alignment vertical="center" wrapText="1"/>
    </xf>
    <xf numFmtId="3" fontId="4" fillId="0" borderId="14" xfId="2" quotePrefix="1" applyNumberFormat="1" applyFont="1" applyBorder="1" applyAlignment="1">
      <alignment horizontal="center" vertical="center" wrapText="1"/>
    </xf>
    <xf numFmtId="3" fontId="11" fillId="0" borderId="14" xfId="2" applyNumberFormat="1" applyFont="1" applyBorder="1" applyAlignment="1">
      <alignment horizontal="center" vertical="center" wrapText="1"/>
    </xf>
    <xf numFmtId="3" fontId="10" fillId="0" borderId="14" xfId="2" applyNumberFormat="1" applyFont="1" applyBorder="1" applyAlignment="1">
      <alignment horizontal="center" vertical="center" wrapText="1"/>
    </xf>
    <xf numFmtId="164" fontId="12" fillId="0" borderId="14" xfId="4" applyNumberFormat="1" applyFont="1" applyBorder="1" applyAlignment="1">
      <alignment horizontal="center" vertical="center" wrapText="1"/>
    </xf>
    <xf numFmtId="3" fontId="10" fillId="0" borderId="14" xfId="2" quotePrefix="1" applyNumberFormat="1" applyFont="1" applyBorder="1" applyAlignment="1">
      <alignment horizontal="center" vertical="center" wrapText="1"/>
    </xf>
    <xf numFmtId="165" fontId="11" fillId="0" borderId="14" xfId="5" applyNumberFormat="1" applyFont="1" applyFill="1" applyBorder="1" applyAlignment="1">
      <alignment vertical="center"/>
    </xf>
    <xf numFmtId="3" fontId="7" fillId="0" borderId="14" xfId="2" applyNumberFormat="1" applyFont="1" applyBorder="1" applyAlignment="1">
      <alignment horizontal="center" vertical="center" wrapText="1"/>
    </xf>
    <xf numFmtId="1" fontId="14" fillId="2" borderId="0" xfId="2" applyNumberFormat="1" applyFont="1" applyFill="1" applyAlignment="1">
      <alignment vertical="center"/>
    </xf>
    <xf numFmtId="3" fontId="4" fillId="0" borderId="0" xfId="2" applyNumberFormat="1" applyFont="1" applyAlignment="1">
      <alignment vertical="center" wrapText="1"/>
    </xf>
    <xf numFmtId="1" fontId="15" fillId="0" borderId="14" xfId="2" applyNumberFormat="1" applyFont="1" applyBorder="1" applyAlignment="1">
      <alignment horizontal="center" vertical="center"/>
    </xf>
    <xf numFmtId="1" fontId="15" fillId="0" borderId="14" xfId="2" applyNumberFormat="1" applyFont="1" applyBorder="1" applyAlignment="1">
      <alignment vertical="center" wrapText="1"/>
    </xf>
    <xf numFmtId="1" fontId="10" fillId="0" borderId="14" xfId="2" applyNumberFormat="1" applyFont="1" applyBorder="1" applyAlignment="1">
      <alignment horizontal="center" vertical="center"/>
    </xf>
    <xf numFmtId="1" fontId="4" fillId="0" borderId="14" xfId="2" applyNumberFormat="1" applyFont="1" applyBorder="1" applyAlignment="1">
      <alignment vertical="center"/>
    </xf>
    <xf numFmtId="1" fontId="10" fillId="0" borderId="14" xfId="2" applyNumberFormat="1" applyFont="1" applyBorder="1" applyAlignment="1">
      <alignment vertical="center"/>
    </xf>
    <xf numFmtId="165" fontId="11" fillId="0" borderId="14" xfId="6" applyNumberFormat="1" applyFont="1" applyFill="1" applyBorder="1" applyAlignment="1">
      <alignment vertical="center"/>
    </xf>
    <xf numFmtId="1" fontId="7" fillId="0" borderId="14" xfId="2" applyNumberFormat="1" applyFont="1" applyBorder="1" applyAlignment="1">
      <alignment horizontal="center" vertical="center"/>
    </xf>
    <xf numFmtId="49" fontId="16" fillId="0" borderId="14" xfId="2" applyNumberFormat="1" applyFont="1" applyBorder="1" applyAlignment="1">
      <alignment horizontal="center" vertical="center"/>
    </xf>
    <xf numFmtId="1" fontId="16" fillId="0" borderId="14" xfId="2" applyNumberFormat="1" applyFont="1" applyBorder="1" applyAlignment="1">
      <alignment vertical="center" wrapText="1"/>
    </xf>
    <xf numFmtId="1" fontId="17" fillId="0" borderId="14" xfId="2" applyNumberFormat="1" applyFont="1" applyBorder="1" applyAlignment="1">
      <alignment horizontal="center" vertical="center" wrapText="1"/>
    </xf>
    <xf numFmtId="1" fontId="18" fillId="0" borderId="1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65" fontId="16" fillId="0" borderId="14" xfId="5" applyNumberFormat="1" applyFont="1" applyFill="1" applyBorder="1" applyAlignment="1">
      <alignment vertical="center"/>
    </xf>
    <xf numFmtId="1" fontId="16" fillId="0" borderId="14" xfId="2" applyNumberFormat="1" applyFont="1" applyBorder="1" applyAlignment="1">
      <alignment horizontal="center" vertical="center"/>
    </xf>
    <xf numFmtId="1" fontId="16" fillId="0" borderId="0" xfId="2" applyNumberFormat="1" applyFont="1" applyAlignment="1">
      <alignment vertical="center"/>
    </xf>
    <xf numFmtId="49" fontId="7" fillId="0" borderId="14" xfId="2" applyNumberFormat="1" applyFont="1" applyBorder="1" applyAlignment="1">
      <alignment horizontal="center" vertical="center"/>
    </xf>
    <xf numFmtId="1" fontId="7" fillId="0" borderId="14" xfId="2" applyNumberFormat="1" applyFont="1" applyBorder="1" applyAlignment="1">
      <alignment vertical="center" wrapText="1"/>
    </xf>
    <xf numFmtId="1" fontId="10" fillId="0" borderId="14" xfId="2" applyNumberFormat="1" applyFont="1" applyBorder="1" applyAlignment="1">
      <alignment horizontal="center" vertical="center" wrapText="1"/>
    </xf>
    <xf numFmtId="0" fontId="10" fillId="0" borderId="14" xfId="0" applyFont="1" applyBorder="1" applyAlignment="1">
      <alignment horizontal="center" vertical="center" wrapText="1"/>
    </xf>
    <xf numFmtId="1" fontId="7" fillId="0" borderId="14" xfId="2" applyNumberFormat="1" applyFont="1" applyBorder="1" applyAlignment="1">
      <alignment horizontal="center" vertical="center" wrapText="1"/>
    </xf>
    <xf numFmtId="3" fontId="7" fillId="0" borderId="14" xfId="0" applyNumberFormat="1" applyFont="1" applyBorder="1" applyAlignment="1">
      <alignment horizontal="right" vertical="center"/>
    </xf>
    <xf numFmtId="165" fontId="7" fillId="0" borderId="14" xfId="7" applyNumberFormat="1" applyFont="1" applyFill="1" applyBorder="1" applyAlignment="1">
      <alignment horizontal="right" vertical="center"/>
    </xf>
    <xf numFmtId="165" fontId="7" fillId="0" borderId="14" xfId="5" applyNumberFormat="1" applyFont="1" applyFill="1" applyBorder="1" applyAlignment="1">
      <alignment vertical="center"/>
    </xf>
    <xf numFmtId="0" fontId="7" fillId="0" borderId="14" xfId="0" applyFont="1" applyBorder="1" applyAlignment="1">
      <alignment vertical="center" wrapText="1"/>
    </xf>
    <xf numFmtId="0" fontId="7" fillId="0" borderId="14" xfId="0" applyFont="1" applyBorder="1" applyAlignment="1">
      <alignment horizontal="center" vertical="center" wrapText="1"/>
    </xf>
    <xf numFmtId="165" fontId="7" fillId="0" borderId="14" xfId="5" applyNumberFormat="1" applyFont="1" applyFill="1" applyBorder="1" applyAlignment="1">
      <alignment horizontal="center" vertical="center"/>
    </xf>
    <xf numFmtId="0" fontId="7" fillId="0" borderId="14" xfId="0" applyFont="1" applyBorder="1"/>
    <xf numFmtId="165" fontId="7" fillId="0" borderId="14" xfId="0" applyNumberFormat="1" applyFont="1" applyBorder="1"/>
    <xf numFmtId="0" fontId="19" fillId="0" borderId="0" xfId="0" applyFont="1"/>
    <xf numFmtId="0" fontId="7" fillId="0" borderId="14" xfId="8" applyFont="1" applyBorder="1" applyAlignment="1">
      <alignment horizontal="justify" vertical="center" wrapText="1"/>
    </xf>
    <xf numFmtId="0" fontId="10" fillId="0" borderId="14" xfId="8" applyFont="1" applyBorder="1" applyAlignment="1">
      <alignment horizontal="center" vertical="center" wrapText="1"/>
    </xf>
    <xf numFmtId="164" fontId="18" fillId="0" borderId="14" xfId="4" applyNumberFormat="1" applyFont="1" applyBorder="1" applyAlignment="1">
      <alignment horizontal="center" vertical="center" wrapText="1"/>
    </xf>
    <xf numFmtId="1" fontId="14" fillId="0" borderId="14" xfId="2" applyNumberFormat="1" applyFont="1" applyBorder="1" applyAlignment="1">
      <alignment horizontal="center" vertical="center" wrapText="1"/>
    </xf>
    <xf numFmtId="1" fontId="14" fillId="0" borderId="0" xfId="2" applyNumberFormat="1" applyFont="1" applyAlignment="1">
      <alignment vertical="center"/>
    </xf>
    <xf numFmtId="0" fontId="21" fillId="0" borderId="14" xfId="0" applyFont="1" applyBorder="1" applyAlignment="1">
      <alignment horizontal="center" vertical="center" wrapText="1"/>
    </xf>
    <xf numFmtId="165" fontId="7" fillId="0" borderId="14" xfId="9" applyNumberFormat="1" applyFont="1" applyFill="1" applyBorder="1" applyAlignment="1">
      <alignment vertical="center"/>
    </xf>
    <xf numFmtId="165" fontId="7" fillId="0" borderId="14" xfId="0" applyNumberFormat="1" applyFont="1" applyBorder="1" applyAlignment="1">
      <alignment vertical="center" wrapText="1"/>
    </xf>
    <xf numFmtId="166" fontId="16" fillId="0" borderId="14" xfId="5" applyNumberFormat="1" applyFont="1" applyFill="1" applyBorder="1" applyAlignment="1">
      <alignment horizontal="right" vertical="center"/>
    </xf>
    <xf numFmtId="3" fontId="16" fillId="0" borderId="14" xfId="5" applyNumberFormat="1" applyFont="1" applyFill="1" applyBorder="1" applyAlignment="1">
      <alignment horizontal="right" vertical="center"/>
    </xf>
    <xf numFmtId="1" fontId="22" fillId="0" borderId="14" xfId="2" applyNumberFormat="1" applyFont="1" applyBorder="1" applyAlignment="1">
      <alignment vertical="center"/>
    </xf>
    <xf numFmtId="165" fontId="23" fillId="0" borderId="14" xfId="7" applyNumberFormat="1" applyFont="1" applyFill="1" applyBorder="1" applyAlignment="1">
      <alignment horizontal="right" vertical="center"/>
    </xf>
    <xf numFmtId="165" fontId="24" fillId="0" borderId="14" xfId="7" applyNumberFormat="1" applyFont="1" applyFill="1" applyBorder="1" applyAlignment="1">
      <alignment horizontal="right" vertical="center"/>
    </xf>
    <xf numFmtId="1" fontId="22" fillId="0" borderId="0" xfId="2" applyNumberFormat="1" applyFont="1" applyAlignment="1">
      <alignment vertical="center"/>
    </xf>
    <xf numFmtId="0" fontId="16" fillId="0" borderId="14" xfId="0" applyFont="1" applyBorder="1" applyAlignment="1">
      <alignment horizontal="center" vertical="center"/>
    </xf>
    <xf numFmtId="164" fontId="10" fillId="0" borderId="14" xfId="4" applyNumberFormat="1" applyFont="1" applyBorder="1" applyAlignment="1">
      <alignment horizontal="center" vertical="center" wrapText="1"/>
    </xf>
    <xf numFmtId="165" fontId="7" fillId="0" borderId="14" xfId="0" applyNumberFormat="1" applyFont="1" applyBorder="1" applyAlignment="1">
      <alignment vertical="center"/>
    </xf>
    <xf numFmtId="3" fontId="9" fillId="0" borderId="14" xfId="0" applyNumberFormat="1" applyFont="1" applyBorder="1" applyAlignment="1">
      <alignment vertical="center"/>
    </xf>
    <xf numFmtId="165" fontId="9" fillId="0" borderId="14" xfId="10" applyNumberFormat="1" applyFont="1" applyFill="1" applyBorder="1" applyAlignment="1">
      <alignment vertical="center"/>
    </xf>
    <xf numFmtId="1" fontId="16" fillId="0" borderId="14" xfId="2" applyNumberFormat="1" applyFont="1" applyBorder="1" applyAlignment="1">
      <alignment horizontal="right" vertical="center"/>
    </xf>
    <xf numFmtId="165" fontId="9" fillId="0" borderId="14" xfId="0" applyNumberFormat="1" applyFont="1" applyBorder="1" applyAlignment="1">
      <alignment vertical="center"/>
    </xf>
    <xf numFmtId="164" fontId="7" fillId="0" borderId="14" xfId="4" applyNumberFormat="1" applyBorder="1" applyAlignment="1">
      <alignment horizontal="justify" vertical="center" wrapText="1"/>
    </xf>
    <xf numFmtId="3" fontId="10" fillId="0" borderId="14" xfId="11" applyNumberFormat="1" applyFont="1" applyBorder="1" applyAlignment="1">
      <alignment horizontal="center" vertical="center" wrapText="1"/>
    </xf>
    <xf numFmtId="165" fontId="10" fillId="0" borderId="14" xfId="7" applyNumberFormat="1" applyFont="1" applyFill="1" applyBorder="1" applyAlignment="1">
      <alignment horizontal="center" vertical="center" wrapText="1" shrinkToFit="1"/>
    </xf>
    <xf numFmtId="49" fontId="9" fillId="0" borderId="14" xfId="2" applyNumberFormat="1" applyFont="1" applyBorder="1" applyAlignment="1">
      <alignment horizontal="center" vertical="center"/>
    </xf>
    <xf numFmtId="0" fontId="9" fillId="0" borderId="14" xfId="8" applyFont="1" applyBorder="1" applyAlignment="1">
      <alignment horizontal="justify" vertical="center" wrapText="1"/>
    </xf>
    <xf numFmtId="0" fontId="17" fillId="0" borderId="14" xfId="0" applyFont="1" applyBorder="1" applyAlignment="1">
      <alignment horizontal="center" vertical="center" wrapText="1"/>
    </xf>
    <xf numFmtId="1" fontId="18" fillId="0" borderId="14" xfId="2" applyNumberFormat="1" applyFont="1" applyBorder="1" applyAlignment="1">
      <alignment horizontal="center" vertical="center"/>
    </xf>
    <xf numFmtId="1" fontId="18" fillId="0" borderId="14" xfId="2" applyNumberFormat="1" applyFont="1" applyBorder="1" applyAlignment="1">
      <alignment vertical="center"/>
    </xf>
    <xf numFmtId="0" fontId="26" fillId="0" borderId="14" xfId="0" applyFont="1" applyBorder="1" applyAlignment="1">
      <alignment horizontal="center" vertical="center" wrapText="1"/>
    </xf>
    <xf numFmtId="3" fontId="16" fillId="0" borderId="14" xfId="5" applyNumberFormat="1" applyFont="1" applyFill="1" applyBorder="1" applyAlignment="1">
      <alignment vertical="center"/>
    </xf>
    <xf numFmtId="0" fontId="7" fillId="0" borderId="14" xfId="0" applyFont="1" applyBorder="1" applyAlignment="1">
      <alignment horizontal="justify" vertical="center" wrapText="1"/>
    </xf>
    <xf numFmtId="1" fontId="27" fillId="0" borderId="14" xfId="2" applyNumberFormat="1" applyFont="1" applyBorder="1" applyAlignment="1">
      <alignment vertical="center"/>
    </xf>
    <xf numFmtId="1" fontId="27" fillId="0" borderId="0" xfId="2" applyNumberFormat="1" applyFont="1" applyAlignment="1">
      <alignment vertical="center"/>
    </xf>
    <xf numFmtId="1" fontId="17" fillId="0" borderId="14" xfId="2" applyNumberFormat="1" applyFont="1" applyBorder="1" applyAlignment="1">
      <alignment horizontal="center" vertical="center"/>
    </xf>
    <xf numFmtId="1" fontId="17" fillId="0" borderId="14" xfId="2" applyNumberFormat="1" applyFont="1" applyBorder="1" applyAlignment="1">
      <alignment vertical="center"/>
    </xf>
    <xf numFmtId="1" fontId="9" fillId="0" borderId="14" xfId="2" applyNumberFormat="1" applyFont="1" applyBorder="1" applyAlignment="1">
      <alignment horizontal="center" vertical="center"/>
    </xf>
    <xf numFmtId="3" fontId="10" fillId="0" borderId="14" xfId="0" applyNumberFormat="1" applyFont="1" applyBorder="1" applyAlignment="1">
      <alignment horizontal="center" vertical="center" wrapText="1"/>
    </xf>
    <xf numFmtId="0" fontId="7" fillId="0" borderId="14" xfId="0" applyFont="1" applyBorder="1" applyAlignment="1">
      <alignment horizontal="center" vertical="center"/>
    </xf>
    <xf numFmtId="1" fontId="23" fillId="0" borderId="14" xfId="2" applyNumberFormat="1" applyFont="1" applyBorder="1" applyAlignment="1">
      <alignment vertical="center" wrapText="1"/>
    </xf>
    <xf numFmtId="3" fontId="7" fillId="0" borderId="14" xfId="0" applyNumberFormat="1" applyFont="1" applyBorder="1" applyAlignment="1">
      <alignment horizontal="center" vertical="center" wrapText="1"/>
    </xf>
    <xf numFmtId="1" fontId="23" fillId="0" borderId="14" xfId="2" applyNumberFormat="1" applyFont="1" applyBorder="1" applyAlignment="1">
      <alignment horizontal="justify" vertical="center" wrapText="1"/>
    </xf>
    <xf numFmtId="3" fontId="21" fillId="0" borderId="14" xfId="11" applyNumberFormat="1" applyFont="1" applyBorder="1" applyAlignment="1">
      <alignment horizontal="center" vertical="center" wrapText="1"/>
    </xf>
    <xf numFmtId="3" fontId="7" fillId="0" borderId="14" xfId="5" applyNumberFormat="1" applyFont="1" applyFill="1" applyBorder="1" applyAlignment="1">
      <alignment vertical="center"/>
    </xf>
    <xf numFmtId="1" fontId="24" fillId="0" borderId="14" xfId="2" applyNumberFormat="1" applyFont="1" applyBorder="1" applyAlignment="1">
      <alignment vertical="center" wrapText="1"/>
    </xf>
    <xf numFmtId="3" fontId="28" fillId="0" borderId="14" xfId="11" applyNumberFormat="1" applyFont="1" applyBorder="1" applyAlignment="1">
      <alignment horizontal="center" vertical="center" wrapText="1"/>
    </xf>
    <xf numFmtId="0" fontId="28" fillId="0" borderId="14" xfId="0" applyFont="1" applyBorder="1" applyAlignment="1">
      <alignment horizontal="center" vertical="center" wrapText="1"/>
    </xf>
    <xf numFmtId="165" fontId="16" fillId="0" borderId="14" xfId="7" applyNumberFormat="1" applyFont="1" applyFill="1" applyBorder="1" applyAlignment="1">
      <alignment horizontal="right" vertical="center"/>
    </xf>
    <xf numFmtId="165" fontId="15" fillId="0" borderId="14" xfId="7" applyNumberFormat="1" applyFont="1" applyFill="1" applyBorder="1" applyAlignment="1">
      <alignment horizontal="right" vertical="center"/>
    </xf>
    <xf numFmtId="1" fontId="7" fillId="0" borderId="14" xfId="2" applyNumberFormat="1" applyFont="1" applyBorder="1" applyAlignment="1">
      <alignment horizontal="justify" vertical="center" wrapText="1"/>
    </xf>
    <xf numFmtId="3" fontId="11" fillId="0" borderId="14" xfId="5" applyNumberFormat="1" applyFont="1" applyFill="1" applyBorder="1" applyAlignment="1">
      <alignment vertical="center"/>
    </xf>
    <xf numFmtId="165" fontId="7" fillId="0" borderId="14" xfId="9" applyNumberFormat="1" applyFont="1" applyFill="1" applyBorder="1" applyAlignment="1">
      <alignment horizontal="right" vertical="center" wrapText="1"/>
    </xf>
    <xf numFmtId="1" fontId="4" fillId="0" borderId="0" xfId="2" applyNumberFormat="1" applyFont="1" applyAlignment="1">
      <alignment horizontal="right" vertical="center"/>
    </xf>
    <xf numFmtId="1" fontId="4" fillId="0" borderId="14" xfId="2" applyNumberFormat="1" applyFont="1" applyBorder="1" applyAlignment="1">
      <alignment horizontal="center" vertical="center"/>
    </xf>
    <xf numFmtId="0" fontId="23"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14" xfId="0" applyFont="1" applyBorder="1" applyAlignment="1">
      <alignment horizontal="center" vertical="center" wrapText="1"/>
    </xf>
    <xf numFmtId="3" fontId="27" fillId="0" borderId="14" xfId="2" applyNumberFormat="1" applyFont="1" applyBorder="1" applyAlignment="1">
      <alignment vertical="center"/>
    </xf>
    <xf numFmtId="165" fontId="7" fillId="0" borderId="14" xfId="9" applyNumberFormat="1" applyFont="1" applyFill="1" applyBorder="1" applyAlignment="1">
      <alignment vertical="center" wrapText="1"/>
    </xf>
    <xf numFmtId="1" fontId="4" fillId="0" borderId="14" xfId="2" applyNumberFormat="1" applyFont="1" applyBorder="1" applyAlignment="1">
      <alignment horizontal="center" vertical="center" wrapText="1"/>
    </xf>
    <xf numFmtId="1" fontId="4" fillId="0" borderId="14" xfId="2" applyNumberFormat="1" applyFont="1" applyBorder="1" applyAlignment="1">
      <alignment horizontal="right" vertical="center"/>
    </xf>
    <xf numFmtId="3" fontId="27" fillId="0" borderId="14" xfId="2" applyNumberFormat="1" applyFont="1" applyBorder="1" applyAlignment="1">
      <alignment horizontal="right" vertical="center"/>
    </xf>
    <xf numFmtId="1" fontId="27" fillId="0" borderId="14" xfId="2" applyNumberFormat="1" applyFont="1" applyBorder="1" applyAlignment="1">
      <alignment horizontal="right" vertical="center"/>
    </xf>
    <xf numFmtId="165" fontId="7" fillId="0" borderId="14" xfId="9" applyNumberFormat="1" applyFont="1" applyFill="1" applyBorder="1" applyAlignment="1">
      <alignment horizontal="justify" vertical="center" wrapText="1"/>
    </xf>
    <xf numFmtId="0" fontId="25" fillId="0" borderId="14" xfId="0" applyFont="1" applyBorder="1" applyAlignment="1">
      <alignment horizontal="center" vertical="center" wrapText="1"/>
    </xf>
    <xf numFmtId="165" fontId="7" fillId="0" borderId="14" xfId="9" applyNumberFormat="1"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10" fillId="0" borderId="15" xfId="0" applyFont="1" applyBorder="1" applyAlignment="1">
      <alignment horizontal="center" vertical="center" wrapText="1"/>
    </xf>
    <xf numFmtId="1" fontId="4" fillId="0" borderId="15" xfId="2" applyNumberFormat="1" applyFont="1" applyBorder="1" applyAlignment="1">
      <alignment horizontal="center" vertical="center" wrapText="1"/>
    </xf>
    <xf numFmtId="0" fontId="21" fillId="0" borderId="15" xfId="0" applyFont="1" applyBorder="1" applyAlignment="1">
      <alignment horizontal="center" vertical="center" wrapText="1"/>
    </xf>
    <xf numFmtId="3" fontId="7" fillId="0" borderId="15" xfId="0" applyNumberFormat="1" applyFont="1" applyBorder="1" applyAlignment="1">
      <alignment horizontal="right" vertical="center"/>
    </xf>
    <xf numFmtId="1" fontId="4" fillId="0" borderId="15" xfId="2" applyNumberFormat="1" applyFont="1" applyBorder="1" applyAlignment="1">
      <alignment horizontal="right" vertical="center"/>
    </xf>
    <xf numFmtId="3" fontId="27" fillId="0" borderId="15" xfId="2" applyNumberFormat="1" applyFont="1" applyBorder="1" applyAlignment="1">
      <alignment horizontal="right" vertical="center"/>
    </xf>
    <xf numFmtId="1" fontId="27" fillId="0" borderId="15" xfId="2" applyNumberFormat="1" applyFont="1" applyBorder="1" applyAlignment="1">
      <alignment horizontal="right" vertical="center"/>
    </xf>
    <xf numFmtId="1" fontId="7" fillId="0" borderId="15" xfId="2" applyNumberFormat="1" applyFont="1" applyBorder="1" applyAlignment="1">
      <alignment horizontal="center" vertical="center"/>
    </xf>
    <xf numFmtId="1" fontId="4" fillId="0" borderId="0" xfId="2" applyNumberFormat="1" applyFont="1" applyAlignment="1">
      <alignment horizontal="center" vertical="center"/>
    </xf>
    <xf numFmtId="1" fontId="4" fillId="0" borderId="0" xfId="2" applyNumberFormat="1" applyFont="1" applyAlignment="1">
      <alignment vertical="center" wrapText="1"/>
    </xf>
    <xf numFmtId="1" fontId="4" fillId="0" borderId="0" xfId="2" applyNumberFormat="1" applyFont="1" applyAlignment="1">
      <alignment horizontal="center" vertical="center" wrapText="1"/>
    </xf>
    <xf numFmtId="1" fontId="10" fillId="0" borderId="0" xfId="2" applyNumberFormat="1" applyFont="1" applyAlignment="1">
      <alignment horizontal="center" vertical="center" wrapText="1"/>
    </xf>
    <xf numFmtId="3" fontId="27" fillId="0" borderId="0" xfId="2" applyNumberFormat="1" applyFont="1" applyAlignment="1">
      <alignment horizontal="right" vertical="center"/>
    </xf>
    <xf numFmtId="1" fontId="27" fillId="0" borderId="0" xfId="2" applyNumberFormat="1" applyFont="1" applyAlignment="1">
      <alignment horizontal="right" vertical="center"/>
    </xf>
    <xf numFmtId="1" fontId="7" fillId="0" borderId="0" xfId="2" applyNumberFormat="1" applyFont="1" applyAlignment="1">
      <alignment horizontal="center" vertical="center"/>
    </xf>
    <xf numFmtId="0" fontId="3" fillId="0" borderId="0" xfId="0" applyFont="1" applyAlignment="1">
      <alignment vertical="center" wrapText="1"/>
    </xf>
    <xf numFmtId="0" fontId="25" fillId="0" borderId="0" xfId="0" applyFont="1" applyAlignment="1">
      <alignment vertical="center" wrapText="1"/>
    </xf>
    <xf numFmtId="0" fontId="3" fillId="0" borderId="0" xfId="0" applyFont="1" applyAlignment="1">
      <alignment horizontal="center" vertical="center" wrapText="1"/>
    </xf>
    <xf numFmtId="0" fontId="29" fillId="0" borderId="0" xfId="0" applyFont="1" applyAlignment="1">
      <alignment vertical="center" wrapText="1"/>
    </xf>
    <xf numFmtId="3" fontId="7" fillId="0" borderId="18" xfId="2" applyNumberFormat="1" applyFont="1" applyBorder="1" applyAlignment="1">
      <alignment horizontal="center" vertical="center" wrapText="1"/>
    </xf>
    <xf numFmtId="3" fontId="11" fillId="0" borderId="13" xfId="2" applyNumberFormat="1" applyFont="1" applyBorder="1" applyAlignment="1">
      <alignment horizontal="center" vertical="center" wrapText="1"/>
    </xf>
    <xf numFmtId="3" fontId="11" fillId="0" borderId="13" xfId="2" applyNumberFormat="1" applyFont="1" applyBorder="1" applyAlignment="1">
      <alignment horizontal="right" vertical="center" wrapText="1"/>
    </xf>
    <xf numFmtId="3" fontId="14" fillId="0" borderId="0" xfId="2" applyNumberFormat="1" applyFont="1" applyAlignment="1">
      <alignment horizontal="center" vertical="center" wrapTex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1" fontId="4" fillId="0" borderId="19" xfId="2" applyNumberFormat="1" applyFont="1" applyBorder="1" applyAlignment="1">
      <alignment horizontal="center" vertical="center" wrapText="1"/>
    </xf>
    <xf numFmtId="0" fontId="23" fillId="0" borderId="19" xfId="0" applyFont="1" applyBorder="1" applyAlignment="1">
      <alignment horizontal="center" vertical="center" wrapText="1"/>
    </xf>
    <xf numFmtId="3" fontId="11" fillId="0" borderId="19" xfId="2" applyNumberFormat="1" applyFont="1" applyBorder="1" applyAlignment="1">
      <alignment horizontal="right" vertical="center" wrapText="1"/>
    </xf>
    <xf numFmtId="1" fontId="4" fillId="0" borderId="19" xfId="2" applyNumberFormat="1" applyFont="1" applyBorder="1" applyAlignment="1">
      <alignment horizontal="right" vertical="center"/>
    </xf>
    <xf numFmtId="0" fontId="11" fillId="0" borderId="14" xfId="0" applyFont="1" applyBorder="1" applyAlignment="1">
      <alignment horizontal="left" vertical="center" wrapText="1"/>
    </xf>
    <xf numFmtId="165" fontId="11" fillId="0" borderId="14" xfId="0" applyNumberFormat="1" applyFont="1" applyBorder="1" applyAlignment="1">
      <alignment horizontal="center" vertical="center" wrapText="1"/>
    </xf>
    <xf numFmtId="0" fontId="11" fillId="0" borderId="14" xfId="8" applyFont="1" applyBorder="1" applyAlignment="1">
      <alignment horizontal="justify" vertical="center" wrapText="1"/>
    </xf>
    <xf numFmtId="0" fontId="11" fillId="0" borderId="14" xfId="8" applyFont="1" applyBorder="1" applyAlignment="1">
      <alignment horizontal="center" vertical="center" wrapText="1"/>
    </xf>
    <xf numFmtId="165" fontId="11" fillId="0" borderId="14" xfId="9" applyNumberFormat="1" applyFont="1" applyFill="1" applyBorder="1" applyAlignment="1">
      <alignment horizontal="right" vertical="center" wrapText="1"/>
    </xf>
    <xf numFmtId="165" fontId="11" fillId="0" borderId="14" xfId="9" applyNumberFormat="1" applyFont="1" applyFill="1" applyBorder="1" applyAlignment="1">
      <alignment horizontal="center" vertical="center" wrapText="1"/>
    </xf>
    <xf numFmtId="165" fontId="7" fillId="0" borderId="14" xfId="9" applyNumberFormat="1" applyFont="1" applyFill="1" applyBorder="1" applyAlignment="1">
      <alignment horizontal="right" vertical="center"/>
    </xf>
    <xf numFmtId="165" fontId="7" fillId="0" borderId="14" xfId="9" applyNumberFormat="1" applyFont="1" applyFill="1" applyBorder="1" applyAlignment="1">
      <alignment horizontal="center" vertical="center" wrapText="1"/>
    </xf>
    <xf numFmtId="0" fontId="11" fillId="0" borderId="14" xfId="0" applyFont="1" applyBorder="1" applyAlignment="1">
      <alignment vertical="center" wrapText="1"/>
    </xf>
    <xf numFmtId="165" fontId="11" fillId="0" borderId="14" xfId="9" applyNumberFormat="1" applyFont="1" applyFill="1" applyBorder="1" applyAlignment="1">
      <alignment vertical="center" wrapText="1"/>
    </xf>
    <xf numFmtId="3" fontId="30" fillId="0" borderId="0" xfId="2" applyNumberFormat="1" applyFont="1" applyAlignment="1">
      <alignment horizontal="center" vertical="center" wrapText="1"/>
    </xf>
    <xf numFmtId="3" fontId="14" fillId="3" borderId="0" xfId="2" applyNumberFormat="1" applyFont="1" applyFill="1" applyAlignment="1">
      <alignment horizontal="center" vertical="center" wrapText="1"/>
    </xf>
    <xf numFmtId="165" fontId="11" fillId="0" borderId="14" xfId="0" applyNumberFormat="1" applyFont="1" applyBorder="1" applyAlignment="1">
      <alignment vertical="center" wrapText="1"/>
    </xf>
    <xf numFmtId="3" fontId="31" fillId="0" borderId="14" xfId="0" applyNumberFormat="1" applyFont="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xf>
    <xf numFmtId="0" fontId="25" fillId="0" borderId="0" xfId="0" applyFont="1"/>
    <xf numFmtId="0" fontId="32" fillId="0" borderId="0" xfId="0" applyFont="1" applyAlignment="1">
      <alignment horizontal="center" vertical="center" wrapText="1"/>
    </xf>
    <xf numFmtId="0" fontId="11" fillId="0" borderId="13" xfId="0" applyFont="1" applyBorder="1" applyAlignment="1">
      <alignment horizontal="center" vertical="center" wrapText="1"/>
    </xf>
    <xf numFmtId="1" fontId="4" fillId="0" borderId="13" xfId="2" applyNumberFormat="1" applyFont="1" applyBorder="1" applyAlignment="1">
      <alignment horizontal="center" vertical="center" wrapText="1"/>
    </xf>
    <xf numFmtId="0" fontId="23" fillId="0" borderId="13" xfId="0" applyFont="1" applyBorder="1" applyAlignment="1">
      <alignment horizontal="center" vertical="center" wrapText="1"/>
    </xf>
    <xf numFmtId="165" fontId="11" fillId="0" borderId="13" xfId="0" applyNumberFormat="1" applyFont="1" applyBorder="1" applyAlignment="1">
      <alignment horizontal="center" vertical="center" wrapText="1"/>
    </xf>
    <xf numFmtId="1" fontId="4" fillId="0" borderId="13" xfId="2" applyNumberFormat="1" applyFont="1" applyBorder="1" applyAlignment="1">
      <alignment horizontal="right" vertical="center"/>
    </xf>
    <xf numFmtId="0" fontId="7" fillId="0" borderId="0" xfId="0" applyFont="1"/>
    <xf numFmtId="0" fontId="25" fillId="0" borderId="14" xfId="0" applyFont="1" applyBorder="1" applyAlignment="1">
      <alignment vertical="center" wrapText="1"/>
    </xf>
    <xf numFmtId="0" fontId="25" fillId="0" borderId="14" xfId="0" applyFont="1" applyBorder="1" applyAlignment="1">
      <alignment horizontal="center"/>
    </xf>
    <xf numFmtId="0" fontId="25" fillId="0" borderId="14" xfId="0" applyFont="1" applyBorder="1"/>
    <xf numFmtId="0" fontId="7" fillId="0" borderId="15" xfId="0" applyFont="1" applyBorder="1" applyAlignment="1">
      <alignment horizontal="justify" vertical="center" wrapText="1"/>
    </xf>
    <xf numFmtId="0" fontId="25" fillId="0" borderId="15" xfId="0" applyFont="1" applyBorder="1" applyAlignment="1">
      <alignment horizontal="center" vertical="center" wrapText="1"/>
    </xf>
    <xf numFmtId="0" fontId="26" fillId="0" borderId="15" xfId="0" applyFont="1" applyBorder="1" applyAlignment="1">
      <alignment horizontal="center" vertical="center" wrapText="1"/>
    </xf>
    <xf numFmtId="165" fontId="7" fillId="0" borderId="15" xfId="5" applyNumberFormat="1" applyFont="1" applyFill="1" applyBorder="1" applyAlignment="1">
      <alignment horizontal="center" vertical="center"/>
    </xf>
    <xf numFmtId="0" fontId="25" fillId="0" borderId="15" xfId="0" applyFont="1" applyBorder="1" applyAlignment="1">
      <alignment vertical="center" wrapText="1"/>
    </xf>
    <xf numFmtId="0" fontId="25" fillId="0" borderId="15" xfId="0" applyFont="1" applyBorder="1" applyAlignment="1">
      <alignment horizontal="center"/>
    </xf>
    <xf numFmtId="0" fontId="25" fillId="0" borderId="15" xfId="0" applyFont="1" applyBorder="1"/>
    <xf numFmtId="3" fontId="31" fillId="0" borderId="15" xfId="0" applyNumberFormat="1" applyFont="1" applyBorder="1" applyAlignment="1">
      <alignment horizontal="right"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3" fillId="2" borderId="0" xfId="0" applyFont="1" applyFill="1" applyAlignment="1">
      <alignment vertical="center" wrapText="1"/>
    </xf>
    <xf numFmtId="0" fontId="19" fillId="2" borderId="0" xfId="0" applyFont="1" applyFill="1" applyAlignment="1">
      <alignment vertical="center" wrapText="1"/>
    </xf>
    <xf numFmtId="0" fontId="34" fillId="2" borderId="0" xfId="0" applyFont="1" applyFill="1" applyAlignment="1">
      <alignment vertical="center" wrapText="1"/>
    </xf>
    <xf numFmtId="3" fontId="32" fillId="2" borderId="0" xfId="2" applyNumberFormat="1" applyFont="1" applyFill="1" applyAlignment="1">
      <alignment horizontal="center" vertical="center" wrapText="1"/>
    </xf>
    <xf numFmtId="3" fontId="3" fillId="2" borderId="0" xfId="2" applyNumberFormat="1" applyFont="1" applyFill="1" applyAlignment="1">
      <alignment horizontal="center" vertical="center" wrapText="1"/>
    </xf>
    <xf numFmtId="165" fontId="32" fillId="2" borderId="2" xfId="5" applyNumberFormat="1" applyFont="1" applyFill="1" applyBorder="1" applyAlignment="1">
      <alignment horizontal="right" vertical="center"/>
    </xf>
    <xf numFmtId="0" fontId="35" fillId="2" borderId="0" xfId="0" applyFont="1" applyFill="1" applyAlignment="1">
      <alignment vertical="center" wrapText="1"/>
    </xf>
    <xf numFmtId="0" fontId="32" fillId="2" borderId="0" xfId="0" applyFont="1" applyFill="1" applyAlignment="1">
      <alignment horizontal="center" vertical="center" wrapText="1"/>
    </xf>
    <xf numFmtId="3" fontId="7" fillId="2" borderId="0" xfId="2" applyNumberFormat="1" applyFont="1" applyFill="1" applyAlignment="1">
      <alignment horizontal="center" vertical="center" wrapText="1"/>
    </xf>
    <xf numFmtId="3" fontId="11" fillId="2" borderId="0" xfId="2" applyNumberFormat="1" applyFont="1" applyFill="1" applyAlignment="1">
      <alignment horizontal="center" vertical="center" wrapText="1"/>
    </xf>
    <xf numFmtId="165" fontId="7" fillId="2" borderId="15" xfId="7" applyNumberFormat="1" applyFont="1" applyFill="1" applyBorder="1" applyAlignment="1">
      <alignment vertical="center"/>
    </xf>
    <xf numFmtId="0" fontId="7" fillId="2" borderId="2" xfId="0" applyFont="1" applyFill="1" applyBorder="1" applyAlignment="1">
      <alignment horizontal="center" vertical="center" wrapText="1"/>
    </xf>
    <xf numFmtId="0" fontId="36" fillId="2" borderId="0" xfId="0" applyFont="1" applyFill="1" applyAlignment="1">
      <alignment horizontal="center" vertical="center" wrapText="1"/>
    </xf>
    <xf numFmtId="165" fontId="36" fillId="2" borderId="0" xfId="0" applyNumberFormat="1"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14" xfId="0" applyFont="1" applyFill="1" applyBorder="1" applyAlignment="1">
      <alignment horizontal="left" vertical="center" wrapText="1"/>
    </xf>
    <xf numFmtId="165" fontId="11" fillId="2" borderId="14" xfId="0" applyNumberFormat="1" applyFont="1" applyFill="1" applyBorder="1" applyAlignment="1">
      <alignment horizontal="center" vertical="center" wrapText="1"/>
    </xf>
    <xf numFmtId="0" fontId="3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justify" vertical="center" wrapText="1"/>
    </xf>
    <xf numFmtId="0" fontId="7" fillId="2" borderId="14" xfId="0" applyFont="1" applyFill="1" applyBorder="1" applyAlignment="1">
      <alignment vertical="center" wrapText="1"/>
    </xf>
    <xf numFmtId="165" fontId="7" fillId="2" borderId="14" xfId="13" applyNumberFormat="1" applyFont="1" applyFill="1" applyBorder="1" applyAlignment="1">
      <alignment horizontal="right" vertical="center" wrapText="1"/>
    </xf>
    <xf numFmtId="165" fontId="7" fillId="2" borderId="14" xfId="13" applyNumberFormat="1" applyFont="1" applyFill="1" applyBorder="1" applyAlignment="1">
      <alignment vertical="center"/>
    </xf>
    <xf numFmtId="165" fontId="7" fillId="0" borderId="14" xfId="13" applyNumberFormat="1" applyFont="1" applyFill="1" applyBorder="1" applyAlignment="1">
      <alignment horizontal="right" vertical="center" wrapText="1"/>
    </xf>
    <xf numFmtId="165" fontId="31" fillId="0" borderId="14" xfId="13" applyNumberFormat="1" applyFont="1" applyFill="1" applyBorder="1" applyAlignment="1">
      <alignment horizontal="right" vertical="center" wrapText="1"/>
    </xf>
    <xf numFmtId="0" fontId="38" fillId="2" borderId="0" xfId="0" applyFont="1" applyFill="1" applyAlignment="1">
      <alignment vertical="center" wrapText="1"/>
    </xf>
    <xf numFmtId="0" fontId="11" fillId="2" borderId="14" xfId="8" applyFont="1" applyFill="1" applyBorder="1" applyAlignment="1">
      <alignment horizontal="justify" vertical="center" wrapText="1"/>
    </xf>
    <xf numFmtId="165" fontId="11" fillId="2" borderId="14" xfId="13" applyNumberFormat="1" applyFont="1" applyFill="1" applyBorder="1" applyAlignment="1">
      <alignment horizontal="right" vertical="center" wrapText="1"/>
    </xf>
    <xf numFmtId="165" fontId="11" fillId="2" borderId="14" xfId="13" applyNumberFormat="1" applyFont="1" applyFill="1" applyBorder="1" applyAlignment="1">
      <alignment horizontal="center" vertical="center" wrapText="1"/>
    </xf>
    <xf numFmtId="165" fontId="38" fillId="2" borderId="0" xfId="0" applyNumberFormat="1" applyFont="1" applyFill="1" applyAlignment="1">
      <alignment vertical="center" wrapText="1"/>
    </xf>
    <xf numFmtId="165" fontId="7" fillId="2" borderId="14" xfId="13" applyNumberFormat="1" applyFont="1" applyFill="1" applyBorder="1" applyAlignment="1">
      <alignment horizontal="justify" vertical="center" wrapText="1"/>
    </xf>
    <xf numFmtId="165" fontId="7" fillId="2" borderId="0" xfId="13" applyNumberFormat="1" applyFont="1" applyFill="1" applyBorder="1" applyAlignment="1">
      <alignment horizontal="right" vertical="center" wrapText="1"/>
    </xf>
    <xf numFmtId="165" fontId="7" fillId="0" borderId="14" xfId="13" applyNumberFormat="1" applyFont="1" applyBorder="1" applyAlignment="1">
      <alignment vertical="center" wrapText="1"/>
    </xf>
    <xf numFmtId="165" fontId="11" fillId="0" borderId="14" xfId="13" applyNumberFormat="1" applyFont="1" applyBorder="1" applyAlignment="1">
      <alignment vertical="center" wrapText="1"/>
    </xf>
    <xf numFmtId="165" fontId="31" fillId="0" borderId="14" xfId="13" applyNumberFormat="1" applyFont="1" applyBorder="1" applyAlignment="1">
      <alignment vertical="center" wrapText="1"/>
    </xf>
    <xf numFmtId="0" fontId="25" fillId="0" borderId="14" xfId="0" applyFont="1" applyBorder="1" applyAlignment="1">
      <alignment vertical="center"/>
    </xf>
    <xf numFmtId="165" fontId="39" fillId="0" borderId="14" xfId="0" applyNumberFormat="1" applyFont="1" applyBorder="1" applyAlignment="1">
      <alignment vertical="center"/>
    </xf>
    <xf numFmtId="165" fontId="40" fillId="0" borderId="14" xfId="0" applyNumberFormat="1" applyFont="1" applyBorder="1" applyAlignment="1">
      <alignment vertical="center"/>
    </xf>
    <xf numFmtId="165" fontId="39" fillId="0" borderId="0" xfId="0" applyNumberFormat="1" applyFont="1" applyAlignment="1">
      <alignment vertical="center"/>
    </xf>
    <xf numFmtId="0" fontId="25" fillId="0" borderId="0" xfId="0" applyFont="1" applyAlignment="1">
      <alignment vertical="center"/>
    </xf>
    <xf numFmtId="165" fontId="7" fillId="2" borderId="14" xfId="0" applyNumberFormat="1" applyFont="1" applyFill="1" applyBorder="1" applyAlignment="1">
      <alignment horizontal="right" vertical="center" wrapText="1"/>
    </xf>
    <xf numFmtId="3" fontId="7" fillId="2" borderId="14" xfId="0" applyNumberFormat="1" applyFont="1" applyFill="1" applyBorder="1" applyAlignment="1">
      <alignment vertical="center"/>
    </xf>
    <xf numFmtId="165" fontId="25" fillId="0" borderId="14" xfId="0" applyNumberFormat="1" applyFont="1" applyBorder="1" applyAlignment="1">
      <alignment vertical="center"/>
    </xf>
    <xf numFmtId="0" fontId="41" fillId="0" borderId="14" xfId="0" applyFont="1" applyBorder="1" applyAlignment="1">
      <alignment vertical="center"/>
    </xf>
    <xf numFmtId="43" fontId="25" fillId="0" borderId="14" xfId="0" applyNumberFormat="1" applyFont="1" applyBorder="1" applyAlignment="1">
      <alignment vertical="center"/>
    </xf>
    <xf numFmtId="165" fontId="25" fillId="0" borderId="14" xfId="13" applyNumberFormat="1" applyFont="1" applyBorder="1" applyAlignment="1">
      <alignment vertical="center"/>
    </xf>
    <xf numFmtId="165" fontId="25" fillId="0" borderId="0" xfId="0" applyNumberFormat="1" applyFont="1" applyAlignment="1">
      <alignment vertical="center"/>
    </xf>
    <xf numFmtId="0" fontId="11" fillId="2" borderId="14" xfId="0" applyFont="1" applyFill="1" applyBorder="1" applyAlignment="1">
      <alignment vertical="center" wrapText="1"/>
    </xf>
    <xf numFmtId="165" fontId="11" fillId="2" borderId="14" xfId="13" applyNumberFormat="1" applyFont="1" applyFill="1" applyBorder="1" applyAlignment="1">
      <alignment vertical="center" wrapText="1"/>
    </xf>
    <xf numFmtId="0" fontId="7" fillId="2" borderId="14" xfId="0" applyFont="1" applyFill="1" applyBorder="1" applyAlignment="1">
      <alignment horizontal="left" vertical="center" wrapText="1"/>
    </xf>
    <xf numFmtId="165" fontId="7" fillId="2" borderId="14" xfId="13" applyNumberFormat="1" applyFont="1" applyFill="1" applyBorder="1" applyAlignment="1">
      <alignment horizontal="right" vertical="center"/>
    </xf>
    <xf numFmtId="165" fontId="7" fillId="2" borderId="14" xfId="13" applyNumberFormat="1" applyFont="1" applyFill="1" applyBorder="1" applyAlignment="1">
      <alignment vertical="center" wrapText="1"/>
    </xf>
    <xf numFmtId="165" fontId="36" fillId="2" borderId="0" xfId="5" applyNumberFormat="1" applyFont="1" applyFill="1" applyAlignment="1">
      <alignment horizontal="center" vertical="center" wrapText="1"/>
    </xf>
    <xf numFmtId="165" fontId="19" fillId="2" borderId="0" xfId="0" applyNumberFormat="1" applyFont="1" applyFill="1" applyAlignment="1">
      <alignment vertical="center" wrapText="1"/>
    </xf>
    <xf numFmtId="165" fontId="31" fillId="2" borderId="14" xfId="13" applyNumberFormat="1" applyFont="1" applyFill="1" applyBorder="1" applyAlignment="1">
      <alignment horizontal="right" vertical="center" wrapText="1"/>
    </xf>
    <xf numFmtId="3" fontId="4" fillId="2" borderId="0" xfId="0" applyNumberFormat="1" applyFont="1" applyFill="1" applyAlignment="1">
      <alignment horizontal="right" wrapText="1"/>
    </xf>
    <xf numFmtId="3" fontId="4" fillId="2" borderId="0" xfId="0" applyNumberFormat="1" applyFont="1" applyFill="1" applyAlignment="1">
      <alignment horizontal="center" wrapText="1"/>
    </xf>
    <xf numFmtId="3" fontId="4" fillId="2" borderId="0" xfId="0" applyNumberFormat="1" applyFont="1" applyFill="1" applyAlignment="1">
      <alignment horizontal="right" vertical="top" wrapText="1"/>
    </xf>
    <xf numFmtId="3" fontId="4" fillId="2" borderId="0" xfId="0" applyNumberFormat="1" applyFont="1" applyFill="1" applyAlignment="1">
      <alignment horizontal="center" vertical="top" wrapText="1"/>
    </xf>
    <xf numFmtId="3" fontId="36" fillId="2" borderId="0" xfId="0" applyNumberFormat="1" applyFont="1" applyFill="1" applyAlignment="1">
      <alignment horizontal="center" vertical="center" wrapText="1"/>
    </xf>
    <xf numFmtId="3" fontId="25" fillId="2" borderId="0" xfId="0" applyNumberFormat="1" applyFont="1" applyFill="1" applyAlignment="1">
      <alignment vertical="center" wrapText="1"/>
    </xf>
    <xf numFmtId="3" fontId="25"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1" fontId="32" fillId="0" borderId="0" xfId="2" applyNumberFormat="1" applyFont="1" applyAlignment="1">
      <alignment vertical="center"/>
    </xf>
    <xf numFmtId="0" fontId="42" fillId="0" borderId="0" xfId="3" applyFont="1" applyAlignment="1">
      <alignment horizontal="center" vertical="center" wrapText="1" readingOrder="1"/>
    </xf>
    <xf numFmtId="0" fontId="5" fillId="0" borderId="0" xfId="3" applyFont="1" applyAlignment="1">
      <alignment horizontal="center" vertical="center" wrapText="1" readingOrder="1"/>
    </xf>
    <xf numFmtId="0" fontId="42" fillId="0" borderId="0" xfId="3" applyFont="1" applyAlignment="1">
      <alignment vertical="center" wrapText="1" readingOrder="1"/>
    </xf>
    <xf numFmtId="3" fontId="7" fillId="0" borderId="2" xfId="2" applyNumberFormat="1" applyFont="1" applyBorder="1" applyAlignment="1">
      <alignment vertical="center" wrapText="1"/>
    </xf>
    <xf numFmtId="0" fontId="7" fillId="0" borderId="3" xfId="0" applyFont="1" applyBorder="1" applyAlignment="1">
      <alignment horizontal="center" vertical="center" wrapText="1"/>
    </xf>
    <xf numFmtId="3" fontId="9" fillId="0" borderId="2" xfId="2" applyNumberFormat="1" applyFont="1" applyBorder="1" applyAlignment="1">
      <alignment vertical="center" wrapText="1"/>
    </xf>
    <xf numFmtId="0" fontId="7" fillId="0" borderId="10" xfId="0" applyFont="1" applyBorder="1" applyAlignment="1">
      <alignment horizontal="center" vertical="center" wrapText="1"/>
    </xf>
    <xf numFmtId="3" fontId="7" fillId="0" borderId="0" xfId="2" quotePrefix="1" applyNumberFormat="1" applyFont="1" applyAlignment="1">
      <alignment horizontal="center" vertical="center" wrapText="1"/>
    </xf>
    <xf numFmtId="3" fontId="11" fillId="0" borderId="13" xfId="2" quotePrefix="1" applyNumberFormat="1" applyFont="1" applyBorder="1" applyAlignment="1">
      <alignment horizontal="center" vertical="center" wrapText="1"/>
    </xf>
    <xf numFmtId="3" fontId="11" fillId="0" borderId="13" xfId="2" quotePrefix="1" applyNumberFormat="1" applyFont="1" applyBorder="1" applyAlignment="1">
      <alignment horizontal="right" vertical="center" wrapText="1"/>
    </xf>
    <xf numFmtId="3" fontId="11" fillId="0" borderId="0" xfId="2" applyNumberFormat="1" applyFont="1" applyAlignment="1">
      <alignment vertical="center" wrapText="1"/>
    </xf>
    <xf numFmtId="3" fontId="11" fillId="0" borderId="14" xfId="2" quotePrefix="1" applyNumberFormat="1" applyFont="1" applyBorder="1" applyAlignment="1">
      <alignment horizontal="center" vertical="center" wrapText="1"/>
    </xf>
    <xf numFmtId="3" fontId="11" fillId="0" borderId="14" xfId="2" applyNumberFormat="1" applyFont="1" applyBorder="1" applyAlignment="1">
      <alignment horizontal="left" vertical="center" wrapText="1"/>
    </xf>
    <xf numFmtId="3" fontId="11" fillId="0" borderId="14" xfId="2" quotePrefix="1" applyNumberFormat="1" applyFont="1" applyBorder="1" applyAlignment="1">
      <alignment horizontal="right" vertical="center" wrapText="1"/>
    </xf>
    <xf numFmtId="49" fontId="11" fillId="0" borderId="14" xfId="2" applyNumberFormat="1" applyFont="1" applyBorder="1" applyAlignment="1">
      <alignment horizontal="center" vertical="center"/>
    </xf>
    <xf numFmtId="1" fontId="11" fillId="0" borderId="14" xfId="2" applyNumberFormat="1" applyFont="1" applyBorder="1" applyAlignment="1">
      <alignment horizontal="left" vertical="center" wrapText="1"/>
    </xf>
    <xf numFmtId="1" fontId="7" fillId="0" borderId="14" xfId="2" applyNumberFormat="1" applyFont="1" applyBorder="1" applyAlignment="1">
      <alignment vertical="center"/>
    </xf>
    <xf numFmtId="1" fontId="7" fillId="0" borderId="14" xfId="2" applyNumberFormat="1" applyFont="1" applyBorder="1" applyAlignment="1">
      <alignment horizontal="right" vertical="center"/>
    </xf>
    <xf numFmtId="1" fontId="7" fillId="0" borderId="0" xfId="2" applyNumberFormat="1" applyFont="1" applyAlignment="1">
      <alignment vertical="center"/>
    </xf>
    <xf numFmtId="1" fontId="11" fillId="0" borderId="14" xfId="2" applyNumberFormat="1" applyFont="1" applyBorder="1" applyAlignment="1">
      <alignment vertical="center" wrapText="1"/>
    </xf>
    <xf numFmtId="1" fontId="11" fillId="0" borderId="14" xfId="2" applyNumberFormat="1" applyFont="1" applyBorder="1" applyAlignment="1">
      <alignment horizontal="center" vertical="center" wrapText="1"/>
    </xf>
    <xf numFmtId="1" fontId="11" fillId="0" borderId="14" xfId="2" applyNumberFormat="1" applyFont="1" applyBorder="1" applyAlignment="1">
      <alignment horizontal="right" vertical="center"/>
    </xf>
    <xf numFmtId="1" fontId="11" fillId="0" borderId="0" xfId="2" applyNumberFormat="1" applyFont="1" applyAlignment="1">
      <alignment vertical="center"/>
    </xf>
    <xf numFmtId="1" fontId="9" fillId="0" borderId="14" xfId="2" applyNumberFormat="1" applyFont="1" applyBorder="1" applyAlignment="1">
      <alignment horizontal="center" vertical="center" wrapText="1"/>
    </xf>
    <xf numFmtId="1" fontId="9" fillId="0" borderId="14" xfId="2" applyNumberFormat="1" applyFont="1" applyBorder="1" applyAlignment="1">
      <alignment horizontal="right" vertical="center"/>
    </xf>
    <xf numFmtId="1" fontId="9" fillId="0" borderId="0" xfId="2" applyNumberFormat="1" applyFont="1" applyAlignment="1">
      <alignment vertical="center"/>
    </xf>
    <xf numFmtId="165" fontId="11" fillId="0" borderId="14" xfId="5" applyNumberFormat="1" applyFont="1" applyBorder="1" applyAlignment="1">
      <alignment horizontal="right" vertical="center"/>
    </xf>
    <xf numFmtId="1" fontId="7" fillId="0" borderId="14" xfId="2" quotePrefix="1" applyNumberFormat="1" applyFont="1" applyBorder="1" applyAlignment="1">
      <alignment horizontal="center" vertical="center" wrapText="1"/>
    </xf>
    <xf numFmtId="0" fontId="7" fillId="0" borderId="14" xfId="14" applyFont="1" applyBorder="1" applyAlignment="1">
      <alignment horizontal="center" vertical="center" wrapText="1" shrinkToFit="1"/>
    </xf>
    <xf numFmtId="0" fontId="10" fillId="0" borderId="14" xfId="14" applyFont="1" applyBorder="1" applyAlignment="1">
      <alignment horizontal="center" vertical="center" wrapText="1" shrinkToFit="1"/>
    </xf>
    <xf numFmtId="3" fontId="7" fillId="0" borderId="14" xfId="2" applyNumberFormat="1" applyFont="1" applyBorder="1" applyAlignment="1">
      <alignment horizontal="right" vertical="center"/>
    </xf>
    <xf numFmtId="3" fontId="7" fillId="0" borderId="14" xfId="5" quotePrefix="1" applyNumberFormat="1" applyFont="1" applyFill="1" applyBorder="1" applyAlignment="1">
      <alignment horizontal="right" vertical="center"/>
    </xf>
    <xf numFmtId="166" fontId="7" fillId="0" borderId="14" xfId="5" applyNumberFormat="1" applyFont="1" applyFill="1" applyBorder="1" applyAlignment="1">
      <alignment horizontal="right" vertical="center"/>
    </xf>
    <xf numFmtId="1" fontId="7" fillId="0" borderId="14" xfId="2" applyNumberFormat="1" applyFont="1" applyBorder="1" applyAlignment="1">
      <alignment horizontal="right" vertical="center" wrapText="1"/>
    </xf>
    <xf numFmtId="3" fontId="31" fillId="0" borderId="14" xfId="2" applyNumberFormat="1" applyFont="1" applyBorder="1" applyAlignment="1">
      <alignment horizontal="right" vertical="center"/>
    </xf>
    <xf numFmtId="49" fontId="7" fillId="0" borderId="15" xfId="2" applyNumberFormat="1" applyFont="1" applyBorder="1" applyAlignment="1">
      <alignment horizontal="center" vertical="center"/>
    </xf>
    <xf numFmtId="1" fontId="7" fillId="0" borderId="15" xfId="2" applyNumberFormat="1" applyFont="1" applyBorder="1" applyAlignment="1">
      <alignment horizontal="justify" vertical="center" wrapText="1"/>
    </xf>
    <xf numFmtId="1" fontId="7" fillId="0" borderId="15" xfId="2" applyNumberFormat="1" applyFont="1" applyBorder="1" applyAlignment="1">
      <alignment horizontal="center" vertical="center" wrapText="1"/>
    </xf>
    <xf numFmtId="0" fontId="7" fillId="0" borderId="15" xfId="14" applyFont="1" applyBorder="1" applyAlignment="1">
      <alignment horizontal="center" vertical="center" wrapText="1" shrinkToFit="1"/>
    </xf>
    <xf numFmtId="1" fontId="46" fillId="0" borderId="15" xfId="2" applyNumberFormat="1" applyFont="1" applyBorder="1" applyAlignment="1">
      <alignment horizontal="center" vertical="center" wrapText="1"/>
    </xf>
    <xf numFmtId="0" fontId="10" fillId="0" borderId="15" xfId="14" applyFont="1" applyBorder="1" applyAlignment="1">
      <alignment horizontal="center" vertical="center" wrapText="1" shrinkToFit="1"/>
    </xf>
    <xf numFmtId="165" fontId="7" fillId="0" borderId="15" xfId="15" applyNumberFormat="1" applyFont="1" applyFill="1" applyBorder="1" applyAlignment="1">
      <alignment horizontal="right" vertical="center" shrinkToFit="1"/>
    </xf>
    <xf numFmtId="1" fontId="7" fillId="0" borderId="15" xfId="2" applyNumberFormat="1" applyFont="1" applyBorder="1" applyAlignment="1">
      <alignment vertical="center"/>
    </xf>
    <xf numFmtId="165" fontId="7" fillId="0" borderId="15" xfId="13" applyNumberFormat="1" applyFont="1" applyFill="1" applyBorder="1" applyAlignment="1">
      <alignment horizontal="right" vertical="center" shrinkToFit="1"/>
    </xf>
    <xf numFmtId="3" fontId="7" fillId="0" borderId="15" xfId="5" quotePrefix="1" applyNumberFormat="1" applyFont="1" applyFill="1" applyBorder="1" applyAlignment="1">
      <alignment horizontal="right" vertical="center"/>
    </xf>
    <xf numFmtId="3" fontId="31" fillId="0" borderId="15" xfId="2" applyNumberFormat="1" applyFont="1" applyBorder="1" applyAlignment="1">
      <alignment horizontal="right" vertical="center"/>
    </xf>
    <xf numFmtId="165" fontId="31" fillId="0" borderId="15" xfId="13" applyNumberFormat="1" applyFont="1" applyFill="1" applyBorder="1" applyAlignment="1">
      <alignment horizontal="right" vertical="center" shrinkToFit="1"/>
    </xf>
    <xf numFmtId="165" fontId="7" fillId="0" borderId="14" xfId="13" applyNumberFormat="1" applyFont="1" applyFill="1" applyBorder="1" applyAlignment="1">
      <alignment horizontal="right" vertical="center" shrinkToFit="1"/>
    </xf>
    <xf numFmtId="1" fontId="15" fillId="0" borderId="13" xfId="2" applyNumberFormat="1" applyFont="1" applyBorder="1" applyAlignment="1">
      <alignment horizontal="center" vertical="center"/>
    </xf>
    <xf numFmtId="1" fontId="15" fillId="0" borderId="13" xfId="2" applyNumberFormat="1" applyFont="1" applyBorder="1" applyAlignment="1">
      <alignment horizontal="center" vertical="center" wrapText="1"/>
    </xf>
    <xf numFmtId="1" fontId="7" fillId="0" borderId="13" xfId="2" applyNumberFormat="1" applyFont="1" applyBorder="1" applyAlignment="1">
      <alignment horizontal="center" vertical="center"/>
    </xf>
    <xf numFmtId="1" fontId="7" fillId="0" borderId="13" xfId="2" applyNumberFormat="1" applyFont="1" applyBorder="1" applyAlignment="1">
      <alignment vertical="center"/>
    </xf>
    <xf numFmtId="165" fontId="11" fillId="0" borderId="13" xfId="6" applyNumberFormat="1" applyFont="1" applyFill="1" applyBorder="1" applyAlignment="1">
      <alignment horizontal="right" vertical="center"/>
    </xf>
    <xf numFmtId="167" fontId="4" fillId="0" borderId="0" xfId="1" applyFont="1" applyAlignment="1">
      <alignment vertical="center"/>
    </xf>
    <xf numFmtId="165" fontId="11" fillId="0" borderId="14" xfId="6" applyNumberFormat="1" applyFont="1" applyFill="1" applyBorder="1" applyAlignment="1">
      <alignment horizontal="right" vertical="center"/>
    </xf>
    <xf numFmtId="3" fontId="7" fillId="0" borderId="14" xfId="0" applyNumberFormat="1" applyFont="1" applyBorder="1" applyAlignment="1">
      <alignment horizontal="justify" vertical="center" wrapText="1"/>
    </xf>
    <xf numFmtId="165" fontId="7" fillId="0" borderId="14" xfId="6" applyNumberFormat="1" applyFont="1" applyFill="1" applyBorder="1" applyAlignment="1">
      <alignment vertical="center"/>
    </xf>
    <xf numFmtId="0" fontId="7" fillId="0" borderId="14" xfId="0" quotePrefix="1" applyFont="1" applyBorder="1" applyAlignment="1">
      <alignment horizontal="justify" vertical="center" wrapText="1"/>
    </xf>
    <xf numFmtId="1" fontId="15" fillId="0" borderId="15" xfId="2" applyNumberFormat="1" applyFont="1" applyBorder="1" applyAlignment="1">
      <alignment horizontal="center" vertical="center"/>
    </xf>
    <xf numFmtId="0" fontId="11" fillId="0" borderId="15" xfId="0" applyFont="1" applyBorder="1" applyAlignment="1">
      <alignment horizontal="center" vertical="center" wrapText="1"/>
    </xf>
    <xf numFmtId="165" fontId="11" fillId="0" borderId="15" xfId="6" applyNumberFormat="1" applyFont="1" applyFill="1" applyBorder="1" applyAlignment="1">
      <alignment horizontal="right" vertical="center"/>
    </xf>
    <xf numFmtId="0" fontId="55" fillId="0" borderId="0" xfId="0" applyFont="1"/>
    <xf numFmtId="0" fontId="32" fillId="0" borderId="0" xfId="0" applyFont="1"/>
    <xf numFmtId="0" fontId="56" fillId="0" borderId="0" xfId="0" applyFont="1"/>
    <xf numFmtId="0" fontId="32" fillId="0" borderId="0" xfId="0" applyFont="1" applyAlignment="1">
      <alignment horizontal="center"/>
    </xf>
    <xf numFmtId="0" fontId="3" fillId="0" borderId="13" xfId="0" applyFont="1" applyBorder="1" applyAlignment="1">
      <alignment horizontal="center" vertical="center" wrapText="1"/>
    </xf>
    <xf numFmtId="3" fontId="3" fillId="0" borderId="13" xfId="0" applyNumberFormat="1" applyFont="1" applyBorder="1" applyAlignment="1">
      <alignment horizontal="right" vertical="center" wrapText="1"/>
    </xf>
    <xf numFmtId="3" fontId="32" fillId="0" borderId="0" xfId="0" applyNumberFormat="1" applyFont="1" applyAlignment="1">
      <alignment horizontal="center" vertical="center" wrapText="1"/>
    </xf>
    <xf numFmtId="0" fontId="32" fillId="0" borderId="14" xfId="0" applyFont="1" applyBorder="1" applyAlignment="1">
      <alignment horizontal="center"/>
    </xf>
    <xf numFmtId="0" fontId="32" fillId="0" borderId="14" xfId="0" applyFont="1" applyBorder="1"/>
    <xf numFmtId="3" fontId="32" fillId="0" borderId="14" xfId="0" applyNumberFormat="1" applyFont="1" applyBorder="1" applyAlignment="1">
      <alignment horizontal="right" vertical="center" wrapText="1"/>
    </xf>
    <xf numFmtId="3" fontId="32" fillId="0" borderId="14" xfId="0" applyNumberFormat="1" applyFont="1" applyBorder="1" applyAlignment="1">
      <alignment horizontal="right"/>
    </xf>
    <xf numFmtId="3" fontId="32" fillId="0" borderId="0" xfId="0" applyNumberFormat="1" applyFont="1"/>
    <xf numFmtId="0" fontId="32" fillId="0" borderId="15" xfId="0" applyFont="1" applyBorder="1" applyAlignment="1">
      <alignment horizontal="center"/>
    </xf>
    <xf numFmtId="0" fontId="32" fillId="0" borderId="15" xfId="0" applyFont="1" applyBorder="1"/>
    <xf numFmtId="3" fontId="32" fillId="0" borderId="15" xfId="0" applyNumberFormat="1" applyFont="1" applyBorder="1" applyAlignment="1">
      <alignment horizontal="right" vertical="center" wrapText="1"/>
    </xf>
    <xf numFmtId="3" fontId="32" fillId="0" borderId="15" xfId="0" applyNumberFormat="1" applyFont="1" applyBorder="1" applyAlignment="1">
      <alignment horizontal="right"/>
    </xf>
    <xf numFmtId="0" fontId="7" fillId="0" borderId="0" xfId="0" applyFont="1" applyAlignment="1">
      <alignment horizontal="center"/>
    </xf>
    <xf numFmtId="1" fontId="3" fillId="0" borderId="0" xfId="2" applyNumberFormat="1" applyFont="1" applyAlignment="1">
      <alignment vertical="center"/>
    </xf>
    <xf numFmtId="1" fontId="32" fillId="0" borderId="0" xfId="2" applyNumberFormat="1" applyFont="1" applyAlignment="1">
      <alignment horizontal="right" vertical="center"/>
    </xf>
    <xf numFmtId="165" fontId="5" fillId="0" borderId="0" xfId="5" applyNumberFormat="1" applyFont="1" applyFill="1" applyAlignment="1">
      <alignment horizontal="right" vertical="center"/>
    </xf>
    <xf numFmtId="3" fontId="7" fillId="0" borderId="2" xfId="2" applyNumberFormat="1" applyFont="1" applyBorder="1" applyAlignment="1">
      <alignment horizontal="center" vertical="center" wrapText="1"/>
    </xf>
    <xf numFmtId="3" fontId="9" fillId="0" borderId="2" xfId="2" applyNumberFormat="1" applyFont="1" applyBorder="1" applyAlignment="1">
      <alignment horizontal="center" vertical="center" wrapText="1"/>
    </xf>
    <xf numFmtId="3" fontId="7" fillId="0" borderId="3" xfId="2" applyNumberFormat="1" applyFont="1" applyBorder="1" applyAlignment="1">
      <alignment horizontal="center" vertical="center" wrapText="1"/>
    </xf>
    <xf numFmtId="3" fontId="7" fillId="0" borderId="4" xfId="2" applyNumberFormat="1" applyFont="1" applyBorder="1" applyAlignment="1">
      <alignment horizontal="center" vertical="center" wrapText="1"/>
    </xf>
    <xf numFmtId="3" fontId="7" fillId="0" borderId="10" xfId="2" applyNumberFormat="1" applyFont="1" applyBorder="1" applyAlignment="1">
      <alignment horizontal="center" vertical="center" wrapText="1"/>
    </xf>
    <xf numFmtId="0" fontId="8" fillId="0" borderId="2" xfId="3" applyFont="1" applyBorder="1"/>
    <xf numFmtId="3" fontId="7" fillId="0" borderId="5" xfId="2" applyNumberFormat="1" applyFont="1" applyBorder="1" applyAlignment="1">
      <alignment horizontal="center" vertical="center" wrapText="1"/>
    </xf>
    <xf numFmtId="3" fontId="7" fillId="0" borderId="6" xfId="2" applyNumberFormat="1" applyFont="1" applyBorder="1" applyAlignment="1">
      <alignment horizontal="center" vertical="center" wrapText="1"/>
    </xf>
    <xf numFmtId="3" fontId="7" fillId="0" borderId="7" xfId="2" applyNumberFormat="1" applyFont="1" applyBorder="1" applyAlignment="1">
      <alignment horizontal="center" vertical="center" wrapText="1"/>
    </xf>
    <xf numFmtId="3" fontId="7" fillId="0" borderId="8" xfId="2" applyNumberFormat="1" applyFont="1" applyBorder="1" applyAlignment="1">
      <alignment horizontal="center" vertical="center" wrapText="1"/>
    </xf>
    <xf numFmtId="3" fontId="7" fillId="0" borderId="0" xfId="2" applyNumberFormat="1" applyFont="1" applyAlignment="1">
      <alignment horizontal="center" vertical="center" wrapText="1"/>
    </xf>
    <xf numFmtId="3" fontId="7" fillId="0" borderId="9"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3" fontId="7" fillId="0" borderId="1" xfId="2" applyNumberFormat="1" applyFont="1" applyBorder="1" applyAlignment="1">
      <alignment horizontal="center" vertical="center" wrapText="1"/>
    </xf>
    <xf numFmtId="3" fontId="7" fillId="0" borderId="12" xfId="2" applyNumberFormat="1" applyFont="1" applyBorder="1" applyAlignment="1">
      <alignment horizontal="center" vertical="center" wrapText="1"/>
    </xf>
    <xf numFmtId="1" fontId="3" fillId="0" borderId="0" xfId="2" applyNumberFormat="1" applyFont="1" applyAlignment="1">
      <alignment horizontal="left" vertical="center" wrapText="1"/>
    </xf>
    <xf numFmtId="1" fontId="3" fillId="0" borderId="0" xfId="2" applyNumberFormat="1" applyFont="1" applyAlignment="1">
      <alignment horizontal="center" vertical="center" wrapText="1"/>
    </xf>
    <xf numFmtId="1" fontId="5" fillId="0" borderId="0" xfId="2" applyNumberFormat="1" applyFont="1" applyAlignment="1">
      <alignment horizontal="center" vertical="center" wrapText="1"/>
    </xf>
    <xf numFmtId="1" fontId="5" fillId="0" borderId="1" xfId="2" applyNumberFormat="1" applyFont="1" applyBorder="1" applyAlignment="1">
      <alignment horizontal="right" vertical="center"/>
    </xf>
    <xf numFmtId="3" fontId="9" fillId="0" borderId="16" xfId="2" applyNumberFormat="1" applyFont="1" applyBorder="1" applyAlignment="1">
      <alignment horizontal="center" vertical="center" wrapText="1"/>
    </xf>
    <xf numFmtId="3" fontId="9" fillId="0" borderId="17" xfId="2" applyNumberFormat="1" applyFont="1" applyBorder="1" applyAlignment="1">
      <alignment horizontal="center" vertical="center" wrapText="1"/>
    </xf>
    <xf numFmtId="3" fontId="9" fillId="0" borderId="18" xfId="2" applyNumberFormat="1" applyFont="1" applyBorder="1" applyAlignment="1">
      <alignment horizontal="center" vertical="center" wrapText="1"/>
    </xf>
    <xf numFmtId="0" fontId="23" fillId="0" borderId="4" xfId="3" applyFont="1" applyBorder="1" applyAlignment="1">
      <alignment vertical="center"/>
    </xf>
    <xf numFmtId="0" fontId="23" fillId="0" borderId="10" xfId="3" applyFont="1" applyBorder="1" applyAlignment="1">
      <alignment vertical="center"/>
    </xf>
    <xf numFmtId="3" fontId="7" fillId="0" borderId="16" xfId="2" applyNumberFormat="1" applyFont="1" applyBorder="1" applyAlignment="1">
      <alignment horizontal="center" vertical="center" wrapText="1"/>
    </xf>
    <xf numFmtId="3" fontId="7" fillId="0" borderId="17" xfId="2" applyNumberFormat="1" applyFont="1" applyBorder="1" applyAlignment="1">
      <alignment horizontal="center" vertical="center" wrapText="1"/>
    </xf>
    <xf numFmtId="3" fontId="7" fillId="0" borderId="18" xfId="2" applyNumberFormat="1" applyFont="1" applyBorder="1" applyAlignment="1">
      <alignment horizontal="center" vertical="center" wrapText="1"/>
    </xf>
    <xf numFmtId="0" fontId="3" fillId="0" borderId="0" xfId="0" applyFont="1" applyAlignment="1">
      <alignment horizontal="center" vertical="center" wrapText="1"/>
    </xf>
    <xf numFmtId="3" fontId="5" fillId="0" borderId="0" xfId="0" applyNumberFormat="1" applyFont="1" applyAlignment="1">
      <alignment horizontal="center" vertical="center" wrapText="1"/>
    </xf>
    <xf numFmtId="0" fontId="5" fillId="0" borderId="1" xfId="0" applyFont="1" applyBorder="1" applyAlignment="1">
      <alignment horizontal="right" vertical="center" wrapText="1"/>
    </xf>
    <xf numFmtId="0" fontId="23" fillId="0" borderId="4" xfId="3" applyFont="1" applyBorder="1"/>
    <xf numFmtId="0" fontId="23" fillId="0" borderId="10" xfId="3" applyFont="1" applyBorder="1"/>
    <xf numFmtId="0" fontId="5" fillId="0" borderId="0" xfId="0" applyFont="1" applyAlignment="1">
      <alignment horizontal="right" vertical="center" wrapText="1"/>
    </xf>
    <xf numFmtId="0" fontId="29"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3" fontId="44" fillId="0" borderId="2" xfId="2" applyNumberFormat="1" applyFont="1" applyBorder="1" applyAlignment="1">
      <alignment horizontal="center" vertical="center" wrapText="1"/>
    </xf>
    <xf numFmtId="3" fontId="9" fillId="0" borderId="2" xfId="2" applyNumberFormat="1" applyFont="1" applyBorder="1" applyAlignment="1">
      <alignment horizontal="left" vertical="center" wrapText="1"/>
    </xf>
    <xf numFmtId="1" fontId="5" fillId="0" borderId="0" xfId="2" applyNumberFormat="1" applyFont="1" applyAlignment="1">
      <alignment horizontal="right" vertical="center"/>
    </xf>
    <xf numFmtId="1" fontId="3" fillId="0" borderId="0" xfId="2" applyNumberFormat="1" applyFont="1" applyAlignment="1">
      <alignment horizontal="center" vertical="center"/>
    </xf>
    <xf numFmtId="0" fontId="42" fillId="0" borderId="0" xfId="3" applyFont="1" applyAlignment="1">
      <alignment horizontal="center" vertical="center" wrapText="1" readingOrder="1"/>
    </xf>
    <xf numFmtId="0" fontId="7" fillId="2" borderId="2" xfId="0" applyFont="1" applyFill="1" applyBorder="1" applyAlignment="1">
      <alignment horizontal="center" vertical="center" wrapText="1"/>
    </xf>
    <xf numFmtId="0" fontId="23" fillId="0" borderId="2" xfId="12" applyFont="1" applyBorder="1" applyAlignment="1">
      <alignment horizontal="center" vertical="center" wrapText="1"/>
    </xf>
    <xf numFmtId="0" fontId="3" fillId="2" borderId="0" xfId="0" applyFont="1" applyFill="1" applyAlignment="1">
      <alignment horizontal="center" vertical="center" wrapText="1"/>
    </xf>
    <xf numFmtId="3"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right" vertical="center" wrapText="1"/>
    </xf>
    <xf numFmtId="0" fontId="23" fillId="0" borderId="3" xfId="3" applyFont="1" applyBorder="1" applyAlignment="1">
      <alignment horizontal="center" vertical="center"/>
    </xf>
    <xf numFmtId="0" fontId="23" fillId="0" borderId="10" xfId="3" applyFont="1" applyBorder="1" applyAlignment="1">
      <alignment horizontal="center" vertical="center"/>
    </xf>
    <xf numFmtId="0" fontId="7" fillId="0" borderId="2" xfId="0" applyFont="1" applyBorder="1" applyAlignment="1">
      <alignment horizontal="center" vertical="center" wrapText="1"/>
    </xf>
    <xf numFmtId="168" fontId="7" fillId="0" borderId="2" xfId="2" applyNumberFormat="1" applyFont="1" applyBorder="1" applyAlignment="1">
      <alignment horizontal="center" vertical="center" wrapText="1"/>
    </xf>
    <xf numFmtId="167" fontId="3" fillId="0" borderId="0" xfId="1" applyFont="1" applyAlignment="1">
      <alignment horizontal="center" vertical="center" wrapText="1"/>
    </xf>
    <xf numFmtId="1" fontId="51" fillId="0" borderId="0" xfId="2" applyNumberFormat="1" applyFont="1" applyAlignment="1">
      <alignment horizontal="center" vertical="center" wrapText="1"/>
    </xf>
    <xf numFmtId="1" fontId="52" fillId="0" borderId="0" xfId="2" applyNumberFormat="1" applyFont="1" applyAlignment="1">
      <alignment horizontal="center" vertical="center" wrapText="1"/>
    </xf>
    <xf numFmtId="1" fontId="52" fillId="0" borderId="1" xfId="2" applyNumberFormat="1" applyFont="1" applyBorder="1" applyAlignment="1">
      <alignment horizontal="right" vertical="center"/>
    </xf>
    <xf numFmtId="1" fontId="57" fillId="0" borderId="0" xfId="2" applyNumberFormat="1" applyFont="1" applyAlignment="1">
      <alignment horizontal="center" vertical="center"/>
    </xf>
    <xf numFmtId="0" fontId="7" fillId="0" borderId="0" xfId="0" applyFont="1" applyAlignment="1">
      <alignment horizontal="center"/>
    </xf>
    <xf numFmtId="1" fontId="7" fillId="0" borderId="0" xfId="2" applyNumberFormat="1" applyFont="1" applyAlignment="1">
      <alignment horizontal="center" vertical="center"/>
    </xf>
    <xf numFmtId="1" fontId="5" fillId="0" borderId="0" xfId="2" applyNumberFormat="1" applyFont="1" applyAlignment="1">
      <alignment horizontal="center" vertical="center"/>
    </xf>
    <xf numFmtId="0" fontId="55" fillId="0" borderId="0" xfId="0" applyFont="1" applyAlignment="1">
      <alignment horizontal="center"/>
    </xf>
    <xf numFmtId="0" fontId="55" fillId="0" borderId="0" xfId="0" applyFont="1" applyAlignment="1">
      <alignment horizontal="center" wrapText="1"/>
    </xf>
    <xf numFmtId="3" fontId="29" fillId="0" borderId="0" xfId="0" applyNumberFormat="1" applyFont="1" applyAlignment="1">
      <alignment horizontal="center" vertical="center" wrapText="1"/>
    </xf>
    <xf numFmtId="0" fontId="5" fillId="0" borderId="0" xfId="0" applyFont="1" applyAlignment="1">
      <alignment horizontal="right"/>
    </xf>
    <xf numFmtId="0" fontId="5" fillId="0" borderId="1" xfId="0" applyFont="1" applyBorder="1" applyAlignment="1">
      <alignment horizontal="right"/>
    </xf>
  </cellXfs>
  <cellStyles count="16">
    <cellStyle name="Comma" xfId="1" builtinId="3"/>
    <cellStyle name="Comma 10 10" xfId="5" xr:uid="{5CF52A29-BD85-45CD-8E61-A30A77508DAA}"/>
    <cellStyle name="Comma 10 10 2" xfId="7" xr:uid="{B243AEB9-3828-4A10-BF98-766FC348E4D7}"/>
    <cellStyle name="Comma 15 2" xfId="13" xr:uid="{C0ACE182-1141-4AD2-801E-EF00E0025813}"/>
    <cellStyle name="Comma 15 2 3" xfId="9" xr:uid="{4EBBB48F-5DF9-46E9-B57C-0718B199A26F}"/>
    <cellStyle name="Comma 16 3" xfId="10" xr:uid="{3C8BEF07-9EF5-408B-82C0-C190010C36F1}"/>
    <cellStyle name="Comma 3 2" xfId="15" xr:uid="{B13CA24A-D07C-4728-9399-42A1261F59F2}"/>
    <cellStyle name="Comma 62" xfId="6" xr:uid="{AD8733BF-7D05-4B37-AEF8-834AF9A8A52A}"/>
    <cellStyle name="Normal" xfId="0" builtinId="0"/>
    <cellStyle name="Normal 11 3" xfId="3" xr:uid="{14F6B094-0BD3-43D6-B5A0-ADA98BCF1A7A}"/>
    <cellStyle name="Normal 2 2 16" xfId="12" xr:uid="{BB3AC752-BE29-49F0-887E-40930D8BA57F}"/>
    <cellStyle name="Normal 55 5" xfId="8" xr:uid="{BF8AC356-00C1-445C-9982-588ABD92F8BA}"/>
    <cellStyle name="Normal_Bieu DM 2012" xfId="11" xr:uid="{D9DCECE0-F384-4BA4-9F6B-C0076B6BFCAD}"/>
    <cellStyle name="Normal_Bieu KH 2012- Dak Lak (T9)- lan 4" xfId="14" xr:uid="{20B9F460-0C6C-4486-A476-1ABE865664BB}"/>
    <cellStyle name="Normal_Bieu mau (CV )" xfId="2" xr:uid="{0029A838-32C1-4BD9-ABCE-22A7D1456D71}"/>
    <cellStyle name="Normal_Theo doi" xfId="4" xr:uid="{5D9146B9-6323-4755-8874-82DE98C52F9F}"/>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calcChain" Target="calcChain.xml"/><Relationship Id="rId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3\Dung%20TP\Pham%20Dung\Tong%20hop%2008\KHDT\S%20GT\My%20Documents\M3%20be%20t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cvg.hochiminhcity.gov.vn/bang_gia_vlxd/bang_gia_vlxd/quy12007/Congdoan/Diem%20Thy/NhanHsHoag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wnloads\Doan%20cong%20tac\Tay%20Nam%20bo\My%20projects\4B\TC\thiet%20ke\chinh%20sua\ss%20khoi%20luong\469\DT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AI%20ANH\San%20luong\San%20Tenit%20-%20Thi%20doi%20Mong%20ca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SOFFICE\EXCEL\DT107T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UTOAN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192;I%20LI&#7878;U%20TRI&#7870;T%20ANH\N&#258;M%202020\NSDP\giao%20KH%202020\KH%202016-2020\Dau%20tu\Tong%20hop%20phan%20bo\TH%202016-2020%20091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T&#192;I%20LI&#7878;U%20TRI&#7870;T%20ANH\N&#258;M%202019\KH%20nam%202019\Trien%20khai%20KH%202019\BIEUMAUKH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Admin\Downloads\m21.11.2021Bieu%20KH%20%202021%20-%20%202025.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D:\DU%20TOAN%202024\Cong%20khai%20du%20toan%20NSNN%20nam%202024\Bieu%20khoi%20tinh\20.12%20Bieu%20giao%20KH%202024%20(1)%20(1).xlsx" TargetMode="External"/><Relationship Id="rId1" Type="http://schemas.openxmlformats.org/officeDocument/2006/relationships/externalLinkPath" Target="/DU%20TOAN%202024/Cong%20khai%20du%20toan%20NSNN%20nam%202024/Bieu%20khoi%20tinh/20.12%20Bieu%20giao%20KH%202024%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 -THVLN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Sheet3"/>
      <sheetName val="pÿÿluc1"/>
      <sheetName val="KPVÿÿBD "/>
      <sheetName val="general requirements"/>
      <sheetName val="CT Thang Mo"/>
      <sheetName val="CT  PL"/>
      <sheetName val="KC-moi"/>
      <sheetName val="BAOGIATHA_x000e_G"/>
      <sheetName val="TH-XL"/>
      <sheetName val="test"/>
      <sheetName val="Sheet2"/>
      <sheetName val="Sheet1"/>
      <sheetName val="DG-VL"/>
      <sheetName val="DG_CM"/>
      <sheetName val="p轨uluc1"/>
      <sheetName val="p?uluc1"/>
      <sheetName val="cdps"/>
      <sheetName val="dg-VTu"/>
      <sheetName val="ptvt_dg"/>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TH VL, NC, DDHÿÿThanÿÿhuoc"/>
      <sheetName val="LOGO"/>
      <sheetName val="Export Table"/>
      <sheetName val="DIALOGDUTOAN"/>
      <sheetName val="Program"/>
      <sheetName val="Phantich"/>
      <sheetName val="ProExtra"/>
      <sheetName val="Main"/>
      <sheetName val="TV142000_TK012000"/>
      <sheetName val="Module1"/>
      <sheetName val="p_uluc1"/>
      <sheetName val="Thuc thanh"/>
      <sheetName val="Bu_vat_lieu"/>
      <sheetName val="Bang gia tong hop"/>
      <sheetName val="MTP"/>
      <sheetName val="BTHDT"/>
      <sheetName val="TONG_x000b_E3p "/>
      <sheetName val="T_x000e_HCHINH"/>
      <sheetName val="ch)tiet"/>
      <sheetName val="LKVL-CK_x000d_HT-GD1"/>
      <sheetName val="LKVL-CK_x000a_HT-GD1"/>
      <sheetName val="12 th 2008"/>
      <sheetName val="T.Tinh"/>
      <sheetName val="LKVL-CK_HT-GD1"/>
      <sheetName val="XL4Poppy"/>
      <sheetName val="MTO REV.2(ARMOR)"/>
      <sheetName val="BANG KL"/>
      <sheetName val="VCV_x000d_BE-TONG"/>
      <sheetName val="VCV_x000a_BE-TONG"/>
      <sheetName val="M15BHYT"/>
      <sheetName val="VCV_BE-TONG"/>
      <sheetName val="DTTC"/>
      <sheetName val="XXXXXXXX"/>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AV Ha the"/>
      <sheetName val="단면 (2)"/>
      <sheetName val="Dinh nghia"/>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PNT-QUOT-#3"/>
      <sheetName val="COAT&amp;WRAP-QIOT-#3"/>
      <sheetName val="Other Note-2008"/>
      <sheetName val="01VT(R)"/>
      <sheetName val="CHU NHIEM"/>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THTDT"/>
      <sheetName val=""/>
      <sheetName val="DG-Don 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SCK"/>
      <sheetName val="NhanHsHoagia"/>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REGION"/>
      <sheetName val="OFFGRID"/>
    </sheetNames>
    <sheetDataSet>
      <sheetData sheetId="0">
        <row r="9">
          <cell r="C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row r="27">
          <cell r="C27" t="e">
            <v>#N/A</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Tonf hop du toan"/>
      <sheetName val="Xuly Data"/>
      <sheetName val="149-2"/>
      <sheetName val="#REF"/>
      <sheetName val="Sheet1"/>
      <sheetName val="Sheet2"/>
      <sheetName val="Sheet3"/>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CT -THVLNC"/>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6호기"/>
      <sheetName val="NEW-PANEL"/>
      <sheetName val="HelpMe"/>
      <sheetName val="Chiet tinh"/>
      <sheetName val="Input"/>
      <sheetName val="MTC"/>
      <sheetName val="_x0000__x0000__x0000__x0000__x0000__x0000__x0000__x0000_"/>
      <sheetName val="PA2"/>
      <sheetName val="PA3"/>
      <sheetName val="THKP"/>
      <sheetName val="TNHC"/>
      <sheetName val="DSPK"/>
      <sheetName val="방배동내역(리라)"/>
      <sheetName val="MTP"/>
      <sheetName val="MTP1"/>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 val="1.3"/>
      <sheetName val="1.5"/>
      <sheetName val="Xuly_Data"/>
      <sheetName val="cap_so_lao_dong"/>
      <sheetName val="Chiet_tinh"/>
      <sheetName val="dongia_(2)1"/>
      <sheetName val="Xuly_Data1"/>
      <sheetName val="cap_so_lao_dong1"/>
      <sheetName val="Chiet_tinh1"/>
      <sheetName val="DG7606TBA"/>
      <sheetName val="khung ten TD"/>
      <sheetName val="Tra KS"/>
      <sheetName val="DG "/>
      <sheetName val="GVL"/>
      <sheetName val="Temp"/>
      <sheetName val="VL,NC"/>
      <sheetName val="PhaDoMong"/>
      <sheetName val="Tổng kê"/>
      <sheetName val="PNT-QUOT-#3"/>
      <sheetName val="COAT&amp;WRAP-QIOT-#3"/>
      <sheetName val="tra-vat-lieu"/>
      <sheetName val="TH TB+XD"/>
      <sheetName val="BXLDL"/>
      <sheetName val="VuaBT"/>
      <sheetName val="HE SO"/>
      <sheetName val="MTO REV.2(ARMOR)"/>
      <sheetName val="chitimc"/>
      <sheetName val="入力作成表"/>
      <sheetName val="GAEYO"/>
      <sheetName val="May gv 2013"/>
      <sheetName val="NC"/>
      <sheetName val="PT"/>
      <sheetName val="VL"/>
      <sheetName val="IBASE"/>
      <sheetName val="LKVL-CK-HT-GD1"/>
      <sheetName val="????????"/>
      <sheetName val="SL"/>
      <sheetName val="TONGKE-HT"/>
      <sheetName val="Chiet tinh dz35"/>
      <sheetName val="________"/>
      <sheetName val="lam-moi"/>
      <sheetName val="gtrinh"/>
      <sheetName val="DONGIA"/>
      <sheetName val="Bien phap thi cong"/>
      <sheetName val="DATA GOC"/>
      <sheetName val="dg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refreshError="1"/>
      <sheetData sheetId="96" refreshError="1"/>
      <sheetData sheetId="97"/>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duoi"/>
      <sheetName val="VT"/>
      <sheetName val="chenh"/>
      <sheetName val="CPVL"/>
      <sheetName val="Tong hop"/>
      <sheetName val="Chi tiet"/>
      <sheetName val="XL4Poppy"/>
    </sheetNames>
    <sheetDataSet>
      <sheetData sheetId="0"/>
      <sheetData sheetId="1"/>
      <sheetData sheetId="2"/>
      <sheetData sheetId="3"/>
      <sheetData sheetId="4"/>
      <sheetData sheetId="5"/>
      <sheetData sheetId="6"/>
      <sheetData sheetId="7" refreshError="1">
        <row r="26">
          <cell r="A26" t="b">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ien luong"/>
      <sheetName val="PHAN TICH VAT TU BIET THU H7"/>
      <sheetName val="bang tien luong (2)"/>
      <sheetName val="BTHDT"/>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Dong Dau"/>
      <sheetName val="Dong Dau (2)"/>
      <sheetName val="Sau dong"/>
      <sheetName val="Ma xa"/>
      <sheetName val="My dinh"/>
      <sheetName val="Tong cong"/>
      <sheetName val="Sheet5"/>
      <sheetName val="PIPE-03E"/>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0"/>
      <sheetName val="Sheet11"/>
      <sheetName val="Sheet12"/>
      <sheetName val="Sheet13"/>
      <sheetName val="Sheet14"/>
      <sheetName val="Sheet15"/>
      <sheetName val="Sheet16"/>
      <sheetName val="1"/>
      <sheetName val="KH 2003 (moi max)"/>
      <sheetName val="Sheet6"/>
      <sheetName val="Sheet7"/>
      <sheetName val="Sheet8"/>
      <sheetName val="Sheet9"/>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DTHH"/>
      <sheetName val="Bang1"/>
      <sheetName val="TAI TRONG"/>
      <sheetName val="NOI LUC"/>
      <sheetName val="TINH DUYET THTT CHINH"/>
      <sheetName val="TDUYET THTT PHU"/>
      <sheetName val="TINH DAO DONG VA DO VONG"/>
      <sheetName val="TINH NEO"/>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Gia VL"/>
      <sheetName val="Bang gia ca may"/>
      <sheetName val="Bang luong CB"/>
      <sheetName val="Bang P.tich CT"/>
      <sheetName val="D.toan chi tiet"/>
      <sheetName val="Bang TH Dtoan"/>
      <sheetName val="XXXXXXX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VL"/>
      <sheetName val="CTXD"/>
      <sheetName val=".."/>
      <sheetName val="CTDN"/>
      <sheetName val="san vuon"/>
      <sheetName val="khu phu tro"/>
      <sheetName val="TH"/>
      <sheetName val="Phu luc"/>
      <sheetName val="Gia trÞ"/>
      <sheetName val="Chart2"/>
      <sheetName val="KH12"/>
      <sheetName val="CN12"/>
      <sheetName val="HD12"/>
      <sheetName val="KH1"/>
      <sheetName val="Thuyet minh"/>
      <sheetName val="CQ-HQ"/>
      <sheetName val="be tong"/>
      <sheetName val="Thep"/>
      <sheetName val="Tong hop thep"/>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phan tich DG"/>
      <sheetName val="gia vat lieu"/>
      <sheetName val="gia xe may"/>
      <sheetName val="gia nhan c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1(T1)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Quang Tri"/>
      <sheetName val="TTHue"/>
      <sheetName val="Da Nang"/>
      <sheetName val="Quang Nam"/>
      <sheetName val="Quang Ngai"/>
      <sheetName val="TH DH-QN"/>
      <sheetName val="KP HD"/>
      <sheetName val="DB HD"/>
      <sheetName val="9"/>
      <sheetName val="10"/>
      <sheetName val="tscd"/>
      <sheetName val="KM"/>
      <sheetName val="KHOANMUC"/>
      <sheetName val="CPQL"/>
      <sheetName val="SANLUONG"/>
      <sheetName val="SSCP-SL"/>
      <sheetName val="CPSX"/>
      <sheetName val="KQKD"/>
      <sheetName val="CDSL (2)"/>
      <sheetName val="00000001"/>
      <sheetName val="00000002"/>
      <sheetName val="00000003"/>
      <sheetName val="00000004"/>
      <sheetName val="dutoan1"/>
      <sheetName val="Anhtoan"/>
      <sheetName val="dutoan2"/>
      <sheetName val="vat tu"/>
      <sheetName val="cong Q2"/>
      <sheetName val="T.U luong Q1"/>
      <sheetName val="T.U luong Q2"/>
      <sheetName val="T.U luong Q3"/>
      <sheetName val="clvl"/>
      <sheetName val="Chenh lech"/>
      <sheetName val="Kinh phí"/>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xa"/>
      <sheetName val="TLGC"/>
      <sheetName val="BL"/>
      <sheetName val="tc"/>
      <sheetName val="TDT"/>
      <sheetName val="xl"/>
      <sheetName val="NN"/>
      <sheetName val="Tralaivay"/>
      <sheetName val="TBTN"/>
      <sheetName val="CPTV"/>
      <sheetName val="PCCHAY"/>
      <sheetName val="dtks"/>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M"/>
      <sheetName val="BU-gian"/>
      <sheetName val="Bu-Ha"/>
      <sheetName val="PTVT"/>
      <sheetName val="Gia DAN"/>
      <sheetName val="Dan"/>
      <sheetName val="Cuoc"/>
      <sheetName val="Bugia"/>
      <sheetName val="KL57"/>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ang 12"/>
      <sheetName val="Q1-02"/>
      <sheetName val="Q2-02"/>
      <sheetName val="Q3-02"/>
      <sheetName val="Phu luc HD"/>
      <sheetName val="Gia du thau"/>
      <sheetName val="PTDG"/>
      <sheetName val="Ca xe"/>
      <sheetName val="Cau 2(3)"/>
      <sheetName val="TK331A"/>
      <sheetName val="TK131B"/>
      <sheetName val="TK131A"/>
      <sheetName val="TK 331c1"/>
      <sheetName val="TK331C"/>
      <sheetName val="CT331-2003"/>
      <sheetName val="CT 331"/>
      <sheetName val="CT131-2003"/>
      <sheetName val="CT 131"/>
      <sheetName val="TK331B"/>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sent to"/>
      <sheetName val="Caodo"/>
      <sheetName val="Dat"/>
      <sheetName val="KL-CTTK"/>
      <sheetName val="BTH"/>
      <sheetName val="Tien ung"/>
      <sheetName val="phi luong3"/>
      <sheetName val="KH-2001"/>
      <sheetName val="KH-2002"/>
      <sheetName val="KH-2003"/>
      <sheetName val="DGTL"/>
      <sheetName val="®¬ngi¸"/>
      <sheetName val="dongle"/>
      <sheetName val="XE DAU"/>
      <sheetName val="XE XANG"/>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00000005"/>
      <sheetName val="00000006"/>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 o "/>
      <sheetName val="GTCL"/>
      <sheetName val="NGAY THANG"/>
      <sheetName val="TIEN MAT"/>
      <sheetName val="BCDPS T05"/>
      <sheetName val="danh sach cty"/>
      <sheetName val="S`eet7"/>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PNT-QUOT-#3"/>
      <sheetName val="PL0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name"/>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KH_200³_(moi_max)"/>
      <sheetName val="KH_200³_(moi_max)1"/>
      <sheetName val="P"/>
      <sheetName val="C45A-B"/>
      <sheetName val="DM 285"/>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Sk _x0000__x0008__x0005_"/>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refreshError="1"/>
      <sheetData sheetId="684" refreshError="1"/>
      <sheetData sheetId="685" refreshError="1"/>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refreshError="1"/>
      <sheetData sheetId="832" refreshError="1"/>
      <sheetData sheetId="833" refreshError="1"/>
      <sheetData sheetId="834" refreshError="1"/>
      <sheetData sheetId="835" refreshError="1"/>
      <sheetData sheetId="836"/>
      <sheetData sheetId="837"/>
      <sheetData sheetId="838"/>
      <sheetData sheetId="839"/>
      <sheetData sheetId="840"/>
      <sheetData sheetId="841"/>
      <sheetData sheetId="842"/>
      <sheetData sheetId="843" refreshError="1"/>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sheetData sheetId="910"/>
      <sheetData sheetId="911"/>
      <sheetData sheetId="912"/>
      <sheetData sheetId="913" refreshError="1"/>
      <sheetData sheetId="914" refreshError="1"/>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refreshError="1"/>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refreshError="1"/>
      <sheetData sheetId="1207" refreshError="1"/>
      <sheetData sheetId="1208" refreshError="1"/>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refreshError="1"/>
      <sheetData sheetId="1502" refreshError="1"/>
      <sheetData sheetId="1503" refreshError="1"/>
      <sheetData sheetId="1504"/>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sheetData sheetId="1573"/>
      <sheetData sheetId="1574"/>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refreshError="1"/>
      <sheetData sheetId="1585"/>
      <sheetData sheetId="1586" refreshError="1"/>
      <sheetData sheetId="1587" refreshError="1"/>
      <sheetData sheetId="1588" refreshError="1"/>
      <sheetData sheetId="1589"/>
      <sheetData sheetId="1590"/>
      <sheetData sheetId="1591"/>
      <sheetData sheetId="1592"/>
      <sheetData sheetId="1593"/>
      <sheetData sheetId="1594"/>
      <sheetData sheetId="1595" refreshError="1"/>
      <sheetData sheetId="1596" refreshError="1"/>
      <sheetData sheetId="1597"/>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efreshError="1"/>
      <sheetData sheetId="1611" refreshError="1"/>
      <sheetData sheetId="1612" refreshError="1"/>
      <sheetData sheetId="1613" refreshError="1"/>
      <sheetData sheetId="1614"/>
      <sheetData sheetId="1615"/>
      <sheetData sheetId="1616"/>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sheetData sheetId="1632"/>
      <sheetData sheetId="1633"/>
      <sheetData sheetId="1634"/>
      <sheetData sheetId="1635"/>
      <sheetData sheetId="1636"/>
      <sheetData sheetId="1637"/>
      <sheetData sheetId="1638" refreshError="1"/>
      <sheetData sheetId="1639" refreshError="1"/>
      <sheetData sheetId="1640" refreshError="1"/>
      <sheetData sheetId="1641" refreshError="1"/>
      <sheetData sheetId="1642" refreshError="1"/>
      <sheetData sheetId="1643" refreshError="1"/>
      <sheetData sheetId="1644"/>
      <sheetData sheetId="1645"/>
      <sheetData sheetId="1646"/>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sheetData sheetId="1869"/>
      <sheetData sheetId="1870" refreshError="1"/>
      <sheetData sheetId="1871"/>
      <sheetData sheetId="1872" refreshError="1"/>
      <sheetData sheetId="1873" refreshError="1"/>
      <sheetData sheetId="1874"/>
      <sheetData sheetId="1875" refreshError="1"/>
      <sheetData sheetId="1876" refreshError="1"/>
      <sheetData sheetId="1877" refreshError="1"/>
      <sheetData sheetId="1878" refreshError="1"/>
      <sheetData sheetId="1879" refreshError="1"/>
      <sheetData sheetId="1880" refreshError="1"/>
      <sheetData sheetId="1881"/>
      <sheetData sheetId="1882"/>
      <sheetData sheetId="1883"/>
      <sheetData sheetId="1884"/>
      <sheetData sheetId="1885"/>
      <sheetData sheetId="1886"/>
      <sheetData sheetId="1887"/>
      <sheetData sheetId="1888"/>
      <sheetData sheetId="1889" refreshError="1"/>
      <sheetData sheetId="1890" refreshError="1"/>
      <sheetData sheetId="1891" refreshError="1"/>
      <sheetData sheetId="1892" refreshError="1"/>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refreshError="1"/>
      <sheetData sheetId="2197" refreshError="1"/>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refreshError="1"/>
      <sheetData sheetId="2463" refreshError="1"/>
      <sheetData sheetId="2464"/>
      <sheetData sheetId="2465"/>
      <sheetData sheetId="2466"/>
      <sheetData sheetId="2467"/>
      <sheetData sheetId="2468" refreshError="1"/>
      <sheetData sheetId="2469" refreshError="1"/>
      <sheetData sheetId="2470"/>
      <sheetData sheetId="2471" refreshError="1"/>
      <sheetData sheetId="2472" refreshError="1"/>
      <sheetData sheetId="2473" refreshError="1"/>
      <sheetData sheetId="2474" refreshError="1"/>
      <sheetData sheetId="2475" refreshError="1"/>
      <sheetData sheetId="2476" refreshError="1"/>
      <sheetData sheetId="2477" refreshError="1"/>
      <sheetData sheetId="2478"/>
      <sheetData sheetId="2479"/>
      <sheetData sheetId="2480"/>
      <sheetData sheetId="2481"/>
      <sheetData sheetId="2482"/>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refreshError="1"/>
      <sheetData sheetId="2507" refreshError="1"/>
      <sheetData sheetId="2508" refreshError="1"/>
      <sheetData sheetId="2509" refreshError="1"/>
      <sheetData sheetId="2510" refreshError="1"/>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refreshError="1"/>
      <sheetData sheetId="2546"/>
      <sheetData sheetId="2547"/>
      <sheetData sheetId="2548"/>
      <sheetData sheetId="2549"/>
      <sheetData sheetId="2550"/>
      <sheetData sheetId="2551"/>
      <sheetData sheetId="2552" refreshError="1"/>
      <sheetData sheetId="2553" refreshError="1"/>
      <sheetData sheetId="2554" refreshError="1"/>
      <sheetData sheetId="2555" refreshError="1"/>
      <sheetData sheetId="2556" refreshError="1"/>
      <sheetData sheetId="2557" refreshError="1"/>
      <sheetData sheetId="2558"/>
      <sheetData sheetId="2559"/>
      <sheetData sheetId="2560"/>
      <sheetData sheetId="2561"/>
      <sheetData sheetId="2562" refreshError="1"/>
      <sheetData sheetId="2563" refreshError="1"/>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sheetData sheetId="2608" refreshError="1"/>
      <sheetData sheetId="2609" refreshError="1"/>
      <sheetData sheetId="2610" refreshError="1"/>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refreshError="1"/>
      <sheetData sheetId="2636" refreshError="1"/>
      <sheetData sheetId="2637" refreshError="1"/>
      <sheetData sheetId="2638"/>
      <sheetData sheetId="2639"/>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sheetData sheetId="2653"/>
      <sheetData sheetId="2654"/>
      <sheetData sheetId="2655"/>
      <sheetData sheetId="2656"/>
      <sheetData sheetId="2657" refreshError="1"/>
      <sheetData sheetId="2658" refreshError="1"/>
      <sheetData sheetId="2659" refreshError="1"/>
      <sheetData sheetId="2660" refreshError="1"/>
      <sheetData sheetId="2661" refreshError="1"/>
      <sheetData sheetId="2662" refreshError="1"/>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sheetData sheetId="2796"/>
      <sheetData sheetId="2797"/>
      <sheetData sheetId="2798"/>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refreshError="1"/>
      <sheetData sheetId="2834"/>
      <sheetData sheetId="2835"/>
      <sheetData sheetId="2836"/>
      <sheetData sheetId="2837" refreshError="1"/>
      <sheetData sheetId="2838" refreshError="1"/>
      <sheetData sheetId="2839"/>
      <sheetData sheetId="2840"/>
      <sheetData sheetId="2841"/>
      <sheetData sheetId="2842"/>
      <sheetData sheetId="2843"/>
      <sheetData sheetId="2844"/>
      <sheetData sheetId="2845"/>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sheetData sheetId="2860" refreshError="1"/>
      <sheetData sheetId="2861" refreshError="1"/>
      <sheetData sheetId="2862" refreshError="1"/>
      <sheetData sheetId="2863" refreshError="1"/>
      <sheetData sheetId="2864"/>
      <sheetData sheetId="2865" refreshError="1"/>
      <sheetData sheetId="2866"/>
      <sheetData sheetId="2867"/>
      <sheetData sheetId="2868"/>
      <sheetData sheetId="2869"/>
      <sheetData sheetId="2870"/>
      <sheetData sheetId="2871"/>
      <sheetData sheetId="2872" refreshError="1"/>
      <sheetData sheetId="2873" refreshError="1"/>
      <sheetData sheetId="2874" refreshError="1"/>
      <sheetData sheetId="2875"/>
      <sheetData sheetId="2876" refreshError="1"/>
      <sheetData sheetId="2877" refreshError="1"/>
      <sheetData sheetId="2878" refreshError="1"/>
      <sheetData sheetId="2879" refreshError="1"/>
      <sheetData sheetId="2880"/>
      <sheetData sheetId="2881"/>
      <sheetData sheetId="2882" refreshError="1"/>
      <sheetData sheetId="2883" refreshError="1"/>
      <sheetData sheetId="2884" refreshError="1"/>
      <sheetData sheetId="2885" refreshError="1"/>
      <sheetData sheetId="2886"/>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refreshError="1"/>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sheetData sheetId="2977"/>
      <sheetData sheetId="2978"/>
      <sheetData sheetId="2979" refreshError="1"/>
      <sheetData sheetId="2980" refreshError="1"/>
      <sheetData sheetId="2981"/>
      <sheetData sheetId="2982" refreshError="1"/>
      <sheetData sheetId="2983"/>
      <sheetData sheetId="2984"/>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efreshError="1"/>
      <sheetData sheetId="3208" refreshError="1"/>
      <sheetData sheetId="3209" refreshError="1"/>
      <sheetData sheetId="3210" refreshError="1"/>
      <sheetData sheetId="3211"/>
      <sheetData sheetId="3212"/>
      <sheetData sheetId="3213"/>
      <sheetData sheetId="3214"/>
      <sheetData sheetId="3215"/>
      <sheetData sheetId="3216"/>
      <sheetData sheetId="3217"/>
      <sheetData sheetId="3218"/>
      <sheetData sheetId="3219"/>
      <sheetData sheetId="3220"/>
      <sheetData sheetId="3221"/>
      <sheetData sheetId="3222" refreshError="1"/>
      <sheetData sheetId="3223"/>
      <sheetData sheetId="3224"/>
      <sheetData sheetId="3225"/>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sheetData sheetId="3379" refreshError="1"/>
      <sheetData sheetId="3380" refreshError="1"/>
      <sheetData sheetId="3381" refreshError="1"/>
      <sheetData sheetId="3382" refreshError="1"/>
      <sheetData sheetId="3383" refreshError="1"/>
      <sheetData sheetId="3384" refreshError="1"/>
      <sheetData sheetId="3385"/>
      <sheetData sheetId="3386"/>
      <sheetData sheetId="3387"/>
      <sheetData sheetId="3388"/>
      <sheetData sheetId="3389"/>
      <sheetData sheetId="3390"/>
      <sheetData sheetId="3391"/>
      <sheetData sheetId="3392"/>
      <sheetData sheetId="3393"/>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sheetData sheetId="3550"/>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sheetData sheetId="3612"/>
      <sheetData sheetId="3613" refreshError="1"/>
      <sheetData sheetId="3614" refreshError="1"/>
      <sheetData sheetId="3615" refreshError="1"/>
      <sheetData sheetId="3616" refreshError="1"/>
      <sheetData sheetId="3617"/>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sheetData sheetId="14239"/>
      <sheetData sheetId="14240" refreshError="1"/>
      <sheetData sheetId="14241" refreshError="1"/>
      <sheetData sheetId="14242"/>
      <sheetData sheetId="14243" refreshError="1"/>
      <sheetData sheetId="14244" refreshError="1"/>
      <sheetData sheetId="14245" refreshError="1"/>
      <sheetData sheetId="14246"/>
      <sheetData sheetId="14247" refreshError="1"/>
      <sheetData sheetId="14248" refreshError="1"/>
      <sheetData sheetId="14249"/>
      <sheetData sheetId="14250"/>
      <sheetData sheetId="14251"/>
      <sheetData sheetId="14252"/>
      <sheetData sheetId="142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Gia giao VL den HT"/>
      <sheetName val="Gia VL den HT"/>
      <sheetName val="Tong hop DTXD CT"/>
      <sheetName val="Du toan XDCT"/>
      <sheetName val="Tong hop CPXD"/>
      <sheetName val="Tong hop CPTB"/>
      <sheetName val="Tong hop CPK"/>
      <sheetName val="Tu van Thiet ke 1"/>
      <sheetName val="Macro1"/>
      <sheetName val="Macro2"/>
      <sheetName val="Macro3"/>
      <sheetName val="QD 957-2009"/>
      <sheetName val="Cong van 1751"/>
      <sheetName val="XL4Poppy"/>
      <sheetName val="Vat lieu den chan CT"/>
      <sheetName val="Cuoc VC"/>
      <sheetName val="Biaky"/>
      <sheetName val="HelpMe"/>
      <sheetName val="TH_DT"/>
      <sheetName val="Dtoan"/>
      <sheetName val="CLVL"/>
      <sheetName val="PTVL"/>
      <sheetName val="Tiendo"/>
      <sheetName val="CS_TDGCT"/>
      <sheetName val="~         "/>
      <sheetName val="VL"/>
      <sheetName val="VLBTN"/>
      <sheetName val="Coso"/>
      <sheetName val="CapCT"/>
      <sheetName val="Tra2"/>
      <sheetName val="Tra1"/>
      <sheetName val="DieuchinhTKe"/>
      <sheetName val="Tra2_GT"/>
      <sheetName val="Tra1_GT"/>
      <sheetName val="DieuchinhTKe(GT)"/>
      <sheetName val="Bia ngoai"/>
      <sheetName val="Bia trong"/>
      <sheetName val="Thuyetminh"/>
      <sheetName val="TongHopDutoan_GT"/>
      <sheetName val="TonghopDutoan_DD"/>
      <sheetName val="Tra2_DD"/>
      <sheetName val="Tra1_DD"/>
      <sheetName val="DieuchinhTKe(DD)"/>
      <sheetName val="TonghopDutoan_TL"/>
      <sheetName val="THChiphiXD_TBi"/>
      <sheetName val="DGCPV"/>
      <sheetName val="HS_TDT"/>
      <sheetName val="DMCP"/>
      <sheetName val="THKP"/>
      <sheetName val="THKP Khao sat"/>
      <sheetName val="QLDA1751"/>
      <sheetName val="QLDA1"/>
      <sheetName val="Data"/>
      <sheetName val="DUTOAN1"/>
      <sheetName val="Mau DGCT"/>
      <sheetName val="Bia Quyet Toan"/>
      <sheetName val="Tra thep hinh"/>
      <sheetName val="ngoi dong"/>
      <sheetName val="XL4Test5"/>
      <sheetName val="GVLCCT"/>
      <sheetName val="GNC"/>
      <sheetName val="GMXD"/>
      <sheetName val="QLDA"/>
      <sheetName val="Luat XD"/>
      <sheetName val="Thuyet Minh"/>
      <sheetName val="Tong hop"/>
      <sheetName val="Xay dung"/>
      <sheetName val="ca may"/>
      <sheetName val="Work-Condition"/>
      <sheetName val="Phan tich ca may"/>
      <sheetName val="Chenh lech ca may"/>
      <sheetName val="Chiet tinh don gia CM"/>
      <sheetName val="Tong hop kinh phi co Bu GCM"/>
      <sheetName val="Tong hop DTCT"/>
      <sheetName val="Tong hop DT CPXD TH"/>
      <sheetName val="TLg Laitau"/>
      <sheetName val="TLg CN&amp;Laixe"/>
      <sheetName val="TLg Laitau (2)"/>
      <sheetName val="TLg CN&amp;Laixe (2)"/>
      <sheetName val="VT"/>
      <sheetName val="NC"/>
      <sheetName val="MTP"/>
      <sheetName val="Sheet1"/>
      <sheetName val="Du lieu dau vao"/>
      <sheetName val="Tien luong nhan cong"/>
      <sheetName val="Bia lot"/>
      <sheetName val="Bang tra Chi phi khac"/>
      <sheetName val="Sheet2"/>
      <sheetName val="CPV"/>
      <sheetName val="TH tu van"/>
      <sheetName val="00000000"/>
      <sheetName val="vcbo"/>
      <sheetName val="xxxxxxxx"/>
      <sheetName val="CanCu"/>
      <sheetName val="GDT"/>
      <sheetName val="DGCT"/>
      <sheetName val="GiaVLDT"/>
      <sheetName val="Vua"/>
      <sheetName val="Phan tich hao phi"/>
      <sheetName val="TH hao phi"/>
      <sheetName val="Chiet tinh ca may"/>
      <sheetName val="Tong hop kinh phi tinh ca may"/>
      <sheetName val="TLg LX, LT"/>
      <sheetName val="THKP51"/>
      <sheetName val="QLDA2"/>
      <sheetName val="QD957"/>
      <sheetName val="Bao cao KH"/>
      <sheetName val="Vat tu"/>
      <sheetName val="May"/>
      <sheetName val="Nhan cong"/>
      <sheetName val="TT phi khac"/>
      <sheetName val="Chi phi lan trai"/>
      <sheetName val="Chi phi chung"/>
      <sheetName val="P.A.K.D"/>
      <sheetName val="Bia P.A.K.D"/>
      <sheetName val="TB"/>
      <sheetName val="Sheet3"/>
      <sheetName val="QLDA2781"/>
      <sheetName val="Bia HK"/>
      <sheetName val="VietPhuong2781"/>
      <sheetName val="Chenh lech vat tu ca may"/>
      <sheetName val="Config&quot;"/>
      <sheetName val="Bia du toan (2)"/>
      <sheetName val="Van chuyen vat lieu TC"/>
      <sheetName val="Gia vat lieu"/>
      <sheetName val="Chi phi vat lieu"/>
      <sheetName val="Bu nhien lieu"/>
      <sheetName val="StartUp"/>
      <sheetName val="Du toan (2)"/>
      <sheetName val="Tong hop kinh phi (2)"/>
      <sheetName val="Config (2)"/>
      <sheetName val="Chenh lech VT 2"/>
      <sheetName val="Van chuyen 2"/>
      <sheetName val="Khao sat dia hinh"/>
      <sheetName val="Tong hop kinh phi 2"/>
      <sheetName val="Tu van thuyet ke"/>
      <sheetName val="Tong hop vat tu (2)"/>
      <sheetName val="chi tiet TBA 220,4"/>
      <sheetName val="TH 160"/>
      <sheetName val="Bia  160"/>
      <sheetName val="TH-TBA THAO DO"/>
      <sheetName val="bia THAODO TBA"/>
      <sheetName val="TH thao do 35"/>
      <sheetName val="bia 35 thao do"/>
      <sheetName val="Phuluc 3"/>
      <sheetName val="Phuluc 3.a"/>
      <sheetName val="Phu luc 3.b"/>
      <sheetName val="Phuluc 1"/>
      <sheetName val="CPTV"/>
      <sheetName val="chiet tinh"/>
      <sheetName val="Phu luc 2"/>
      <sheetName val="SL dau tien"/>
      <sheetName val="th CT"/>
      <sheetName val="TKP"/>
      <sheetName val="TH"/>
      <sheetName val="TH dz 22"/>
      <sheetName val="bia 22KV"/>
      <sheetName val="BIA TNGHIEM 22"/>
      <sheetName val="chi tiet dz 22 kv"/>
      <sheetName val="vt 22"/>
      <sheetName val="SLVC-22"/>
      <sheetName val="VCDD_22"/>
      <sheetName val="TONG KE DZ 22 KV"/>
      <sheetName val="trungchuyen DZ"/>
      <sheetName val="DG vat tu"/>
      <sheetName val="TH_NHADIEU KHIEN"/>
      <sheetName val="chi tiet TBA"/>
      <sheetName val="VT_TB TBA"/>
      <sheetName val="TH NT+NT"/>
      <sheetName val="chitietdatdao"/>
      <sheetName val="Bia TBA"/>
      <sheetName val="Bia XD TBA"/>
      <sheetName val="Bia NT+NT TBA"/>
      <sheetName val="Bia Kho Tam"/>
      <sheetName val="Bia PQ Tuyen"/>
      <sheetName val="PQ tuyen"/>
      <sheetName val="CPDB"/>
      <sheetName val="DM 66"/>
      <sheetName val="HSDC GOC"/>
      <sheetName val="DLNS"/>
      <sheetName val="DGVCTC 67"/>
      <sheetName val="vc vat tu CHUNG "/>
      <sheetName val="Gvlcht"/>
      <sheetName val="GT 1m3 BT"/>
      <sheetName val="T T CL VC DZ 22"/>
      <sheetName val="DG 89"/>
      <sheetName val="SLVC TBA"/>
      <sheetName val="VCDD_TBA"/>
      <sheetName val="DM 67"/>
      <sheetName val="DM 85"/>
      <sheetName val="ct"/>
      <sheetName val="phu"/>
      <sheetName val="Chi phi thiet bi"/>
      <sheetName val="Chi phi khac"/>
      <sheetName val="Tong du toan"/>
      <sheetName val="Can cu"/>
      <sheetName val="Chi phi thiet bi mau SG"/>
      <sheetName val="Phan tic( 6a4 4u"/>
      <sheetName val="TM quyet toan"/>
      <sheetName val="Thuyet minh "/>
      <sheetName val="Khoi luong quyet toan"/>
      <sheetName val="Bang Khoi luong"/>
      <sheetName val="Phu luc 02"/>
      <sheetName val="TH CHI PHI - 957"/>
      <sheetName val="bang tien luong"/>
      <sheetName val="Bia MT"/>
      <sheetName val="Da ta"/>
      <sheetName val="Thuyet minh Du toan"/>
      <sheetName val="Ky ket hop dong"/>
      <sheetName val="Phu luc 03b"/>
      <sheetName val="Thamtra_Dutoan"/>
      <sheetName val="Thamtra_Phantichvattu"/>
      <sheetName val="Thamtra_GTVT"/>
      <sheetName val="Thamtra_VL"/>
      <sheetName val="Thamtra_NC"/>
      <sheetName val="Thamtra_MTC"/>
      <sheetName val="Dutoan_Nhom"/>
      <sheetName val="GiaVua"/>
      <sheetName val="THKP_Doc"/>
      <sheetName val="DGCT_Thugon"/>
      <sheetName val="DT Goi thau XD"/>
      <sheetName val="CP HMC"/>
      <sheetName val="THKP_KS"/>
      <sheetName val="Tong hop kinh phi_KS"/>
      <sheetName val="THKP_DVCI"/>
      <sheetName val="Tong hop kinh phi  _DVCI"/>
      <sheetName val="DP2C"/>
      <sheetName val="Tong hop DT XDCT"/>
      <sheetName val="DP2B"/>
      <sheetName val="TH_CPXD"/>
      <sheetName val="TH_CPTB"/>
      <sheetName val="DP2C_TB"/>
      <sheetName val="DT Goi thau TB"/>
      <sheetName val="SBTMDT"/>
      <sheetName val="DP2A"/>
      <sheetName val="TMDT"/>
      <sheetName val="DakLak_DVCI"/>
      <sheetName val="DakLak_TongDT"/>
      <sheetName val="PTVT_VCLC"/>
      <sheetName val="THVT_VCLC"/>
      <sheetName val="PTVT_BX"/>
      <sheetName val="THVT_BX"/>
      <sheetName val="PTVT_VC"/>
      <sheetName val="THVT_VC"/>
      <sheetName val="CuocVC"/>
      <sheetName val="CP Khac cuoc VC"/>
      <sheetName val="CPVC _Sieu truong"/>
      <sheetName val="Cuoc Bo sung"/>
      <sheetName val="Chi phi trung chuyen"/>
      <sheetName val="CPVC_DenChanCT"/>
      <sheetName val="CPVC_588"/>
      <sheetName val="CuocDM"/>
      <sheetName val="CPTC_588"/>
      <sheetName val="CTCM_VC"/>
      <sheetName val="BuGCM_VC"/>
      <sheetName val="BuNLTL_VC"/>
      <sheetName val="NC_TC"/>
      <sheetName val="PT_BVC_CV"/>
      <sheetName val="LuongCNXD_Tong"/>
      <sheetName val="LuongCN_XD"/>
      <sheetName val="LuongCN_XD1"/>
      <sheetName val="LuongCN_XD2"/>
      <sheetName val="LuongCNLM_Tong"/>
      <sheetName val="LuongCN_LaiMay1"/>
      <sheetName val="LuongCN_LaiMay2"/>
      <sheetName val="LuongCN_LaiMay"/>
      <sheetName val="Chiet tinh don gia may"/>
      <sheetName val="Bu gia may"/>
      <sheetName val="Bu NL_TL"/>
      <sheetName val="Dau vao ca may"/>
      <sheetName val="Phan tich bu ca may"/>
      <sheetName val="LuongCN"/>
      <sheetName val="HMC_Goithau"/>
      <sheetName val="CongNhat"/>
      <sheetName val="Tamtinh"/>
      <sheetName val="DGCT_Goithau"/>
      <sheetName val="Duthau_HM"/>
      <sheetName val="HD_Trongoi"/>
      <sheetName val="HD_DGCodinh"/>
      <sheetName val="HD_DGDieuchinh"/>
      <sheetName val="NT_GD"/>
      <sheetName val="QLNT"/>
      <sheetName val="PL03a_A"/>
      <sheetName val="PL03a"/>
      <sheetName val="QLTU"/>
      <sheetName val="Setting"/>
      <sheetName val="THKP_Nhom"/>
      <sheetName val="Option"/>
      <sheetName val="_x0000__x0000__x0000__x0000__x0000__x0000__x0000__x0000_"/>
      <sheetName val="CM Phan tich"/>
      <sheetName val="CM Du lieu"/>
      <sheetName val="NC Chiet tinh"/>
      <sheetName val="CM Chenh lech"/>
      <sheetName val="CM Chiet tinh"/>
      <sheetName val="Tra cuu 957"/>
      <sheetName val="TDT"/>
      <sheetName val="DESIGN"/>
      <sheetName val="DLbandau"/>
      <sheetName val="Luat&amp;VBXD"/>
      <sheetName val="DEMO Phuong an kinh doanh"/>
      <sheetName val="CPVC"/>
      <sheetName val="Gia VC"/>
      <sheetName val="Gia VLBQ"/>
      <sheetName val="MHDG"/>
      <sheetName val="GCT"/>
      <sheetName val="THHP"/>
      <sheetName val="PTHP"/>
      <sheetName val="Bia"/>
      <sheetName val="Info"/>
      <sheetName val="HS_957"/>
      <sheetName val="Gld"/>
      <sheetName val="Gtb"/>
      <sheetName val="Gdtcg"/>
      <sheetName val="foxz"/>
      <sheetName val="13.BANG CT"/>
      <sheetName val="14.MMUS GIUA NHIP"/>
      <sheetName val="4.HSPBngang"/>
      <sheetName val="6.Tinh tai"/>
      <sheetName val="2 NSl"/>
      <sheetName val="17.US CHU tho a_b"/>
      <sheetName val="15.MMUS GOI"/>
      <sheetName val="Du toan "/>
      <sheetName val="PTVT-1-than"/>
      <sheetName val="Bu-than"/>
      <sheetName val="QN"/>
      <sheetName val="Don Gia BTN"/>
      <sheetName val="Menu DT972012"/>
      <sheetName val="Luong cong nhan"/>
      <sheetName val="Luong co ban"/>
      <sheetName val="He thong Luat XD"/>
      <sheetName val="Don gia Khao sat"/>
      <sheetName val="Tong hop khao sat"/>
      <sheetName val="Bang luong"/>
      <sheetName val="Ma khoa chuong trinh"/>
      <sheetName val="Gioi thieu phan mem"/>
      <sheetName val="Phan tich vat tu (2)"/>
      <sheetName val="Gia tri vat tu (2)"/>
      <sheetName val="Chenh lech vat tu (2)"/>
      <sheetName val="Don gia chi tiet (2)"/>
      <sheetName val="Du thau (2)"/>
      <sheetName val="Chenh lech va4 tu"/>
      <sheetName val="Tu van Thhet k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Dutoan2001</v>
          </cell>
        </row>
      </sheetData>
      <sheetData sheetId="13" refreshError="1"/>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ĐP"/>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67"/>
      <sheetName val="XL4Poppy"/>
      <sheetName val="T.GIANG"/>
      <sheetName val="THCT"/>
      <sheetName val="THDZ0,4"/>
      <sheetName val="TH DZ35"/>
      <sheetName val="THTram"/>
      <sheetName val="TTDZ22"/>
      <sheetName val="149-2"/>
      <sheetName val="T.So_chung"/>
      <sheetName val="#REF"/>
      <sheetName val="DG vat tu"/>
      <sheetName val="INDOICHIEU"/>
      <sheetName val="Sheet1"/>
      <sheetName val="khung ten TD"/>
      <sheetName val="ChiTietDZ"/>
      <sheetName val="VuaBT"/>
      <sheetName val="UP"/>
      <sheetName val="NHAP DU LIEU"/>
      <sheetName val="ESTI."/>
      <sheetName val="DI-ESTI"/>
      <sheetName val="6호기"/>
      <sheetName val="SL"/>
      <sheetName val="HE SO"/>
      <sheetName val="camayTT01"/>
      <sheetName val="Main"/>
      <sheetName val="MTO REV.2(ARMOR)"/>
      <sheetName val="Tro giup"/>
      <sheetName val="SL dau tien"/>
      <sheetName val="HSKVUC"/>
      <sheetName val="TienLuong"/>
      <sheetName val="Quantity"/>
      <sheetName val="CHITIET VL-NC-TT -1p"/>
      <sheetName val="TH"/>
      <sheetName val="tl"/>
      <sheetName val="Names"/>
      <sheetName val="R&amp;P"/>
      <sheetName val="Payment"/>
      <sheetName val="LE"/>
      <sheetName val="Mo M2"/>
      <sheetName val="chitiet"/>
      <sheetName val="Chung"/>
      <sheetName val="HG"/>
      <sheetName val="Weather"/>
      <sheetName val="Nghỉ lễ"/>
      <sheetName val="Sheet2"/>
      <sheetName val="SILICATE"/>
      <sheetName val="TH kinh phi"/>
      <sheetName val="4.TMDT"/>
      <sheetName val="Help"/>
      <sheetName val="tra-vat-lieu"/>
      <sheetName val="Liet ke"/>
      <sheetName val="TBA XDM"/>
      <sheetName val="M_67"/>
      <sheetName val="M_671"/>
      <sheetName val="T_GIANG"/>
      <sheetName val="T_So_chung"/>
      <sheetName val="TH_DZ35"/>
      <sheetName val="DG_vat_tu"/>
      <sheetName val="NHAP_DU_LIEU"/>
      <sheetName val="coctuatrenda"/>
      <sheetName val="revised#1"/>
      <sheetName val="DATA"/>
      <sheetName val="ABB_Trans"/>
      <sheetName val="Main Feeder"/>
      <sheetName val="Capacitor"/>
      <sheetName val="Input_Data-1"/>
      <sheetName val="PE Wire"/>
      <sheetName val="XLPE_Cable"/>
      <sheetName val="대비"/>
      <sheetName val="dtxl"/>
      <sheetName val="Gia VL den HT"/>
      <sheetName val="DG 285"/>
      <sheetName val="Keothep"/>
      <sheetName val="m doc"/>
      <sheetName val="GVT"/>
      <sheetName val="chi tiet TBA"/>
      <sheetName val="DLdauvao"/>
      <sheetName val="DINH_MUC"/>
      <sheetName val="TH_KHOAN"/>
      <sheetName val="TH TB+XD"/>
      <sheetName val="Đầu vào"/>
      <sheetName val="MHSCT"/>
      <sheetName val="giathanh1"/>
      <sheetName val="dongia (2)"/>
      <sheetName val="thao-go"/>
      <sheetName val="Bang chiet tinh TBA"/>
      <sheetName val="CB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sheetData sheetId="19"/>
      <sheetData sheetId="20"/>
      <sheetData sheetId="21"/>
      <sheetData sheetId="22"/>
      <sheetData sheetId="23"/>
      <sheetData sheetId="24"/>
      <sheetData sheetId="25"/>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BII"/>
      <sheetName val="B1"/>
      <sheetName val="B2"/>
      <sheetName val="B1.1"/>
      <sheetName val="b1. 2"/>
      <sheetName val="B1. 3"/>
      <sheetName val="B1. 4"/>
      <sheetName val="B1.5"/>
      <sheetName val="B2 "/>
      <sheetName val="B5"/>
      <sheetName val="B6"/>
      <sheetName val="BM27 (2)"/>
      <sheetName val="BM29 (2)"/>
      <sheetName val="BM32"/>
      <sheetName val="BM38.b"/>
      <sheetName val="BM28"/>
      <sheetName val="ODAKH NSNN"/>
      <sheetName val="NC07 TH TPCP"/>
      <sheetName val="NC08 TPCP KH"/>
      <sheetName val="NC11 PPP"/>
      <sheetName val="BM18 BC nam DP"/>
      <sheetName val="Quy2THDP"/>
      <sheetName val="BM30-da co TT12"/>
      <sheetName val="BM33"/>
      <sheetName val="Quy2TPCPDP"/>
      <sheetName val="BM31-da co TT12"/>
      <sheetName val="BM34-dacoTT12"/>
      <sheetName val="BM26"/>
      <sheetName val="Quy2von khac Dp"/>
      <sheetName val="Sheet1"/>
      <sheetName val="Sheet2"/>
      <sheetName val="B3"/>
      <sheetName val="Sheet4"/>
      <sheetName val="b4"/>
    </sheetNames>
    <sheetDataSet>
      <sheetData sheetId="0" refreshError="1"/>
      <sheetData sheetId="1" refreshError="1">
        <row r="3">
          <cell r="A3" t="str">
            <v>(Kèm theo Công văn số                SKHĐT-TH ngày  tháng 7 năm 2017 của Sở Kế hoạch và Đầu tư)</v>
          </cell>
          <cell r="B3">
            <v>0</v>
          </cell>
          <cell r="C3">
            <v>0</v>
          </cell>
          <cell r="D3">
            <v>0</v>
          </cell>
          <cell r="E3">
            <v>0</v>
          </cell>
          <cell r="F3">
            <v>0</v>
          </cell>
          <cell r="G3">
            <v>0</v>
          </cell>
          <cell r="H3">
            <v>0</v>
          </cell>
          <cell r="I3">
            <v>0</v>
          </cell>
          <cell r="J3">
            <v>0</v>
          </cell>
          <cell r="K3">
            <v>0</v>
          </cell>
          <cell r="L3">
            <v>0</v>
          </cell>
          <cell r="M3">
            <v>0</v>
          </cell>
          <cell r="N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sheetName val="PLI-CẤP HUYỆN"/>
      <sheetName val="B 1"/>
      <sheetName val="B2"/>
      <sheetName val="Phụ biểu"/>
      <sheetName val="PL I"/>
      <sheetName val="PLI"/>
      <sheetName val="PL  II"/>
      <sheetName val="PLIII"/>
      <sheetName val="PLIIIa"/>
      <sheetName val="PL III"/>
      <sheetName val="P L IV"/>
      <sheetName val="KTN"/>
      <sheetName val="Sheet3"/>
      <sheetName val="Sheet4"/>
      <sheetName val="Sheet2"/>
      <sheetName val="Sheet5"/>
      <sheetName val="PL V"/>
      <sheetName val="PLVI"/>
      <sheetName val="DM NSTW ko tiep tục bo tỉ "/>
      <sheetName val="Sheet8"/>
      <sheetName val="Sheet19"/>
      <sheetName val="Sheet20"/>
      <sheetName val="Sheet6"/>
      <sheetName val="Danh muc ko tiep tuc bo trí"/>
      <sheetName val="Sheet1"/>
      <sheetName val="PLVI-huyen"/>
      <sheetName val="PLVII-so nganh"/>
      <sheetName val="PLVIIa-so nganh"/>
      <sheetName val="PLVIII-cum CN"/>
      <sheetName val="Câp huyen"/>
      <sheetName val="So nganh"/>
      <sheetName val="Cum 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0">
          <cell r="J60">
            <v>89000</v>
          </cell>
        </row>
        <row r="72">
          <cell r="J72">
            <v>107000</v>
          </cell>
        </row>
      </sheetData>
      <sheetData sheetId="27"/>
      <sheetData sheetId="28"/>
      <sheetData sheetId="29"/>
      <sheetData sheetId="30"/>
      <sheetData sheetId="31"/>
      <sheetData sheetId="3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Sheet4"/>
      <sheetName val="Sheet6"/>
      <sheetName val="Sheet8"/>
      <sheetName val="Bsung thêm"/>
      <sheetName val="Bieu so 5 - ODA"/>
      <sheetName val="Bieu so 6-TPCP"/>
      <sheetName val="Bieu so 8-THDA"/>
      <sheetName val="Bieu 11"/>
      <sheetName val="Danh sach CĐT"/>
      <sheetName val="Danh sáchKH"/>
      <sheetName val="Biêu 11-PPP"/>
      <sheetName val="Bieu so 12- CQQL CTMTQG"/>
      <sheetName val="Bieu so 9-NSTW"/>
      <sheetName val="Bieu so 10 - ung truoc"/>
      <sheetName val="Bieu 1"/>
      <sheetName val="B1"/>
      <sheetName val="B2-PAPB"/>
      <sheetName val="Bieu so 13-CQTH CTMTQG"/>
      <sheetName val="Bieu so 18-von vay NSĐP"/>
      <sheetName val="B20-TDUD"/>
      <sheetName val="B20-NCTDUD"/>
      <sheetName val="GD ĐT"/>
      <sheetName val="B 1"/>
      <sheetName val="Biểu 1-2017 KEO DAI"/>
      <sheetName val="Bieu 1- 2017KD"/>
      <sheetName val="Sheet3"/>
      <sheetName val="Bieu 2-KH 2019"/>
      <sheetName val="Phong TH"/>
      <sheetName val="Bieu1"/>
      <sheetName val="Sheet12"/>
      <sheetName val="B 2"/>
      <sheetName val="Biểu 2"/>
      <sheetName val="Biểu 1"/>
      <sheetName val="Biểu1"/>
      <sheetName val="B2"/>
      <sheetName val="Bieu 3"/>
      <sheetName val="B4-HTCT"/>
      <sheetName val="B3.2"/>
      <sheetName val="B3.3"/>
      <sheetName val="B4-NGuon von"/>
      <sheetName val="TH DM MM2019"/>
      <sheetName val="b5"/>
      <sheetName val="b5- pA PHAN BO"/>
      <sheetName val="B7-thMM"/>
      <sheetName val="Sheet7"/>
      <sheetName val="B7a"/>
      <sheetName val="b7 A"/>
      <sheetName val="TH nhu cau2022"/>
      <sheetName val="P L IV"/>
      <sheetName val="Sheet21"/>
      <sheetName val="B5c"/>
      <sheetName val="B6a-SDD"/>
      <sheetName val="b6C"/>
      <sheetName val="6e"/>
      <sheetName val="B6e "/>
      <sheetName val="B9"/>
      <sheetName val="Sheet1"/>
      <sheetName val="Sheet19"/>
      <sheetName val="chi tietTH nhu caau"/>
      <sheetName val="Sheet18"/>
      <sheetName val="Bieu 3a"/>
      <sheetName val="Sheet9"/>
      <sheetName val="B7"/>
      <sheetName val="b6c- KCH Km"/>
      <sheetName val="Sheet13"/>
      <sheetName val="6f-"/>
      <sheetName val="Bieu 7a MM-ngoai kchkm_thu sdd"/>
      <sheetName val="B7b-Bỏ sung NQ-SKH"/>
      <sheetName val="b8-XSKT"/>
      <sheetName val="B9-GDĐT-TIETKIEMCHI"/>
      <sheetName val="7d"/>
      <sheetName val="giao duc "/>
      <sheetName val="B10 thu hoi"/>
      <sheetName val="MM-KCH kenh muong"/>
      <sheetName val="B1-CV duoi 30%-SKH"/>
      <sheetName val="B2THDM 2020dieu chinh 2019-"/>
      <sheetName val="Bo sung trung han"/>
      <sheetName val="B3-No dong XDCB"/>
      <sheetName val="BS NQ"/>
      <sheetName val="B2-No dongXDCB"/>
      <sheetName val="B4- CDNSDP (Tong so))"/>
      <sheetName val="B7- CDNSDP"/>
      <sheetName val="Giai trinh cua So KHDT"/>
      <sheetName val="B9-XSKT"/>
      <sheetName val="B8-Tien hoan tra von vay"/>
      <sheetName val="Bieu 10 -Bao cao"/>
      <sheetName val="B10-NVSHNN"/>
      <sheetName val="Sheet10"/>
      <sheetName val="Sheet5"/>
      <sheetName val="Diêu chinh Tang TMDT"/>
      <sheetName val="b3-cv bs"/>
      <sheetName val="b 4cv"/>
      <sheetName val="Sheet11"/>
      <sheetName val="Sheet15"/>
      <sheetName val="Sheet16"/>
      <sheetName val="Sheet17"/>
      <sheetName val="Sheet23"/>
      <sheetName val="Sheet27"/>
      <sheetName val="Bieu5b-ODA"/>
      <sheetName val="B5a-KCM"/>
      <sheetName val="58"/>
      <sheetName val="B6-MMXSKT"/>
      <sheetName val="B7-MM"/>
      <sheetName val="Sheet14"/>
      <sheetName val="58.1"/>
      <sheetName val="58.2"/>
      <sheetName val="58.3"/>
      <sheetName val="B5d-KCM"/>
      <sheetName val="58.4"/>
      <sheetName val="TH CBĐT"/>
      <sheetName val="Biểu 9"/>
      <sheetName val="Bieu 7-Vay lai"/>
      <sheetName val="Biêu 5"/>
      <sheetName val="PL keo dai"/>
      <sheetName val="MM dk 2022"/>
      <sheetName val="BTH MM 2023"/>
      <sheetName val="Sheet24"/>
      <sheetName val="58.5"/>
      <sheetName val="Sheet22"/>
      <sheetName val="Sheet26"/>
      <sheetName val="Sheet25"/>
      <sheetName val="58.6"/>
      <sheetName val="Sheet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4">
          <cell r="H44">
            <v>57486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ow r="83">
          <cell r="AK83">
            <v>50000</v>
          </cell>
        </row>
      </sheetData>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F8AB-E263-4A4E-A479-0F100DB56F83}">
  <sheetPr>
    <tabColor rgb="FF92D050"/>
    <pageSetUpPr fitToPage="1"/>
  </sheetPr>
  <dimension ref="A1:AQ156"/>
  <sheetViews>
    <sheetView zoomScale="85" zoomScaleNormal="85" workbookViewId="0">
      <pane xSplit="2" ySplit="10" topLeftCell="C11" activePane="bottomRight" state="frozen"/>
      <selection activeCell="I16" sqref="I16"/>
      <selection pane="topRight" activeCell="I16" sqref="I16"/>
      <selection pane="bottomLeft" activeCell="I16" sqref="I16"/>
      <selection pane="bottomRight" activeCell="AR15" sqref="AR15"/>
    </sheetView>
  </sheetViews>
  <sheetFormatPr defaultRowHeight="18.75" x14ac:dyDescent="0.25"/>
  <cols>
    <col min="1" max="1" width="5.42578125" style="128" customWidth="1"/>
    <col min="2" max="2" width="36" style="129" customWidth="1"/>
    <col min="3" max="3" width="11.85546875" style="130" customWidth="1"/>
    <col min="4" max="4" width="7.85546875" style="130" customWidth="1"/>
    <col min="5" max="5" width="6.28515625" style="130" hidden="1" customWidth="1"/>
    <col min="6" max="6" width="6.7109375" style="130" hidden="1" customWidth="1"/>
    <col min="7" max="7" width="8.5703125" style="131" customWidth="1"/>
    <col min="8" max="8" width="10.42578125" style="130" customWidth="1"/>
    <col min="9" max="9" width="10.7109375" style="103" customWidth="1"/>
    <col min="10" max="10" width="13.140625" style="103" customWidth="1"/>
    <col min="11" max="11" width="8.85546875" style="103" customWidth="1"/>
    <col min="12" max="12" width="9.140625" style="103" customWidth="1"/>
    <col min="13" max="14" width="10.85546875" style="103" hidden="1" customWidth="1"/>
    <col min="15" max="15" width="11.140625" style="103" hidden="1" customWidth="1"/>
    <col min="16" max="16" width="10.5703125" style="103" hidden="1" customWidth="1"/>
    <col min="17" max="18" width="11" style="103" hidden="1" customWidth="1"/>
    <col min="19" max="19" width="10.85546875" style="103" hidden="1" customWidth="1"/>
    <col min="20" max="20" width="10.42578125" style="103" hidden="1" customWidth="1"/>
    <col min="21" max="21" width="0.85546875" style="103" hidden="1" customWidth="1"/>
    <col min="22" max="22" width="10.7109375" style="103" customWidth="1"/>
    <col min="23" max="23" width="9" style="132" hidden="1" customWidth="1"/>
    <col min="24" max="24" width="8" style="103" hidden="1" customWidth="1"/>
    <col min="25" max="25" width="7.5703125" style="103" hidden="1" customWidth="1"/>
    <col min="26" max="26" width="11" style="103" hidden="1" customWidth="1"/>
    <col min="27" max="27" width="10.7109375" style="103" customWidth="1"/>
    <col min="28" max="28" width="9.7109375" style="133" hidden="1" customWidth="1"/>
    <col min="29" max="29" width="7" style="103" hidden="1" customWidth="1"/>
    <col min="30" max="30" width="11" style="103" hidden="1" customWidth="1"/>
    <col min="31" max="31" width="10" style="103" hidden="1" customWidth="1"/>
    <col min="32" max="32" width="10.140625" style="103" hidden="1" customWidth="1"/>
    <col min="33" max="33" width="7.5703125" style="103" hidden="1" customWidth="1"/>
    <col min="34" max="34" width="9" style="103" hidden="1" customWidth="1"/>
    <col min="35" max="35" width="11.7109375" style="103" customWidth="1"/>
    <col min="36" max="36" width="9.28515625" style="103" customWidth="1"/>
    <col min="37" max="37" width="9.42578125" style="103" customWidth="1"/>
    <col min="38" max="38" width="9.5703125" style="103" customWidth="1"/>
    <col min="39" max="39" width="7.85546875" style="103" customWidth="1"/>
    <col min="40" max="40" width="7.85546875" style="134" customWidth="1"/>
    <col min="41" max="41" width="12.5703125" style="2" hidden="1" customWidth="1"/>
    <col min="42" max="43" width="0" style="2" hidden="1" customWidth="1"/>
    <col min="44" max="44" width="33.85546875" style="2" customWidth="1"/>
    <col min="45" max="226" width="9.140625" style="2"/>
    <col min="227" max="227" width="5.140625" style="2" customWidth="1"/>
    <col min="228" max="228" width="32.42578125" style="2" customWidth="1"/>
    <col min="229" max="231" width="10.28515625" style="2" customWidth="1"/>
    <col min="232" max="233" width="12.42578125" style="2" customWidth="1"/>
    <col min="234" max="234" width="11.28515625" style="2" customWidth="1"/>
    <col min="235" max="235" width="12.42578125" style="2" customWidth="1"/>
    <col min="236" max="236" width="11.28515625" style="2" customWidth="1"/>
    <col min="237" max="237" width="12.42578125" style="2" customWidth="1"/>
    <col min="238" max="238" width="11.28515625" style="2" customWidth="1"/>
    <col min="239" max="239" width="12.42578125" style="2" customWidth="1"/>
    <col min="240" max="240" width="11.28515625" style="2" customWidth="1"/>
    <col min="241" max="241" width="12.42578125" style="2" customWidth="1"/>
    <col min="242" max="242" width="11.28515625" style="2" customWidth="1"/>
    <col min="243" max="243" width="14.140625" style="2" customWidth="1"/>
    <col min="244" max="244" width="10.28515625" style="2" customWidth="1"/>
    <col min="245" max="245" width="17.140625" style="2" customWidth="1"/>
    <col min="246" max="246" width="12" style="2" customWidth="1"/>
    <col min="247" max="247" width="14.140625" style="2" customWidth="1"/>
    <col min="248" max="248" width="10.28515625" style="2" customWidth="1"/>
    <col min="249" max="249" width="17.140625" style="2" customWidth="1"/>
    <col min="250" max="250" width="12" style="2" customWidth="1"/>
    <col min="251" max="251" width="10.7109375" style="2" customWidth="1"/>
    <col min="252" max="254" width="0" style="2" hidden="1" customWidth="1"/>
    <col min="255" max="482" width="9.140625" style="2"/>
    <col min="483" max="483" width="5.140625" style="2" customWidth="1"/>
    <col min="484" max="484" width="32.42578125" style="2" customWidth="1"/>
    <col min="485" max="487" width="10.28515625" style="2" customWidth="1"/>
    <col min="488" max="489" width="12.42578125" style="2" customWidth="1"/>
    <col min="490" max="490" width="11.28515625" style="2" customWidth="1"/>
    <col min="491" max="491" width="12.42578125" style="2" customWidth="1"/>
    <col min="492" max="492" width="11.28515625" style="2" customWidth="1"/>
    <col min="493" max="493" width="12.42578125" style="2" customWidth="1"/>
    <col min="494" max="494" width="11.28515625" style="2" customWidth="1"/>
    <col min="495" max="495" width="12.42578125" style="2" customWidth="1"/>
    <col min="496" max="496" width="11.28515625" style="2" customWidth="1"/>
    <col min="497" max="497" width="12.42578125" style="2" customWidth="1"/>
    <col min="498" max="498" width="11.28515625" style="2" customWidth="1"/>
    <col min="499" max="499" width="14.140625" style="2" customWidth="1"/>
    <col min="500" max="500" width="10.28515625" style="2" customWidth="1"/>
    <col min="501" max="501" width="17.140625" style="2" customWidth="1"/>
    <col min="502" max="502" width="12" style="2" customWidth="1"/>
    <col min="503" max="503" width="14.140625" style="2" customWidth="1"/>
    <col min="504" max="504" width="10.28515625" style="2" customWidth="1"/>
    <col min="505" max="505" width="17.140625" style="2" customWidth="1"/>
    <col min="506" max="506" width="12" style="2" customWidth="1"/>
    <col min="507" max="507" width="10.7109375" style="2" customWidth="1"/>
    <col min="508" max="510" width="0" style="2" hidden="1" customWidth="1"/>
    <col min="511" max="738" width="9.140625" style="2"/>
    <col min="739" max="739" width="5.140625" style="2" customWidth="1"/>
    <col min="740" max="740" width="32.42578125" style="2" customWidth="1"/>
    <col min="741" max="743" width="10.28515625" style="2" customWidth="1"/>
    <col min="744" max="745" width="12.42578125" style="2" customWidth="1"/>
    <col min="746" max="746" width="11.28515625" style="2" customWidth="1"/>
    <col min="747" max="747" width="12.42578125" style="2" customWidth="1"/>
    <col min="748" max="748" width="11.28515625" style="2" customWidth="1"/>
    <col min="749" max="749" width="12.42578125" style="2" customWidth="1"/>
    <col min="750" max="750" width="11.28515625" style="2" customWidth="1"/>
    <col min="751" max="751" width="12.42578125" style="2" customWidth="1"/>
    <col min="752" max="752" width="11.28515625" style="2" customWidth="1"/>
    <col min="753" max="753" width="12.42578125" style="2" customWidth="1"/>
    <col min="754" max="754" width="11.28515625" style="2" customWidth="1"/>
    <col min="755" max="755" width="14.140625" style="2" customWidth="1"/>
    <col min="756" max="756" width="10.28515625" style="2" customWidth="1"/>
    <col min="757" max="757" width="17.140625" style="2" customWidth="1"/>
    <col min="758" max="758" width="12" style="2" customWidth="1"/>
    <col min="759" max="759" width="14.140625" style="2" customWidth="1"/>
    <col min="760" max="760" width="10.28515625" style="2" customWidth="1"/>
    <col min="761" max="761" width="17.140625" style="2" customWidth="1"/>
    <col min="762" max="762" width="12" style="2" customWidth="1"/>
    <col min="763" max="763" width="10.7109375" style="2" customWidth="1"/>
    <col min="764" max="766" width="0" style="2" hidden="1" customWidth="1"/>
    <col min="767" max="994" width="9.140625" style="2"/>
    <col min="995" max="995" width="5.140625" style="2" customWidth="1"/>
    <col min="996" max="996" width="32.42578125" style="2" customWidth="1"/>
    <col min="997" max="999" width="10.28515625" style="2" customWidth="1"/>
    <col min="1000" max="1001" width="12.42578125" style="2" customWidth="1"/>
    <col min="1002" max="1002" width="11.28515625" style="2" customWidth="1"/>
    <col min="1003" max="1003" width="12.42578125" style="2" customWidth="1"/>
    <col min="1004" max="1004" width="11.28515625" style="2" customWidth="1"/>
    <col min="1005" max="1005" width="12.42578125" style="2" customWidth="1"/>
    <col min="1006" max="1006" width="11.28515625" style="2" customWidth="1"/>
    <col min="1007" max="1007" width="12.42578125" style="2" customWidth="1"/>
    <col min="1008" max="1008" width="11.28515625" style="2" customWidth="1"/>
    <col min="1009" max="1009" width="12.42578125" style="2" customWidth="1"/>
    <col min="1010" max="1010" width="11.28515625" style="2" customWidth="1"/>
    <col min="1011" max="1011" width="14.140625" style="2" customWidth="1"/>
    <col min="1012" max="1012" width="10.28515625" style="2" customWidth="1"/>
    <col min="1013" max="1013" width="17.140625" style="2" customWidth="1"/>
    <col min="1014" max="1014" width="12" style="2" customWidth="1"/>
    <col min="1015" max="1015" width="14.140625" style="2" customWidth="1"/>
    <col min="1016" max="1016" width="10.28515625" style="2" customWidth="1"/>
    <col min="1017" max="1017" width="17.140625" style="2" customWidth="1"/>
    <col min="1018" max="1018" width="12" style="2" customWidth="1"/>
    <col min="1019" max="1019" width="10.7109375" style="2" customWidth="1"/>
    <col min="1020" max="1022" width="0" style="2" hidden="1" customWidth="1"/>
    <col min="1023" max="1250" width="9.140625" style="2"/>
    <col min="1251" max="1251" width="5.140625" style="2" customWidth="1"/>
    <col min="1252" max="1252" width="32.42578125" style="2" customWidth="1"/>
    <col min="1253" max="1255" width="10.28515625" style="2" customWidth="1"/>
    <col min="1256" max="1257" width="12.42578125" style="2" customWidth="1"/>
    <col min="1258" max="1258" width="11.28515625" style="2" customWidth="1"/>
    <col min="1259" max="1259" width="12.42578125" style="2" customWidth="1"/>
    <col min="1260" max="1260" width="11.28515625" style="2" customWidth="1"/>
    <col min="1261" max="1261" width="12.42578125" style="2" customWidth="1"/>
    <col min="1262" max="1262" width="11.28515625" style="2" customWidth="1"/>
    <col min="1263" max="1263" width="12.42578125" style="2" customWidth="1"/>
    <col min="1264" max="1264" width="11.28515625" style="2" customWidth="1"/>
    <col min="1265" max="1265" width="12.42578125" style="2" customWidth="1"/>
    <col min="1266" max="1266" width="11.28515625" style="2" customWidth="1"/>
    <col min="1267" max="1267" width="14.140625" style="2" customWidth="1"/>
    <col min="1268" max="1268" width="10.28515625" style="2" customWidth="1"/>
    <col min="1269" max="1269" width="17.140625" style="2" customWidth="1"/>
    <col min="1270" max="1270" width="12" style="2" customWidth="1"/>
    <col min="1271" max="1271" width="14.140625" style="2" customWidth="1"/>
    <col min="1272" max="1272" width="10.28515625" style="2" customWidth="1"/>
    <col min="1273" max="1273" width="17.140625" style="2" customWidth="1"/>
    <col min="1274" max="1274" width="12" style="2" customWidth="1"/>
    <col min="1275" max="1275" width="10.7109375" style="2" customWidth="1"/>
    <col min="1276" max="1278" width="0" style="2" hidden="1" customWidth="1"/>
    <col min="1279" max="1506" width="9.140625" style="2"/>
    <col min="1507" max="1507" width="5.140625" style="2" customWidth="1"/>
    <col min="1508" max="1508" width="32.42578125" style="2" customWidth="1"/>
    <col min="1509" max="1511" width="10.28515625" style="2" customWidth="1"/>
    <col min="1512" max="1513" width="12.42578125" style="2" customWidth="1"/>
    <col min="1514" max="1514" width="11.28515625" style="2" customWidth="1"/>
    <col min="1515" max="1515" width="12.42578125" style="2" customWidth="1"/>
    <col min="1516" max="1516" width="11.28515625" style="2" customWidth="1"/>
    <col min="1517" max="1517" width="12.42578125" style="2" customWidth="1"/>
    <col min="1518" max="1518" width="11.28515625" style="2" customWidth="1"/>
    <col min="1519" max="1519" width="12.42578125" style="2" customWidth="1"/>
    <col min="1520" max="1520" width="11.28515625" style="2" customWidth="1"/>
    <col min="1521" max="1521" width="12.42578125" style="2" customWidth="1"/>
    <col min="1522" max="1522" width="11.28515625" style="2" customWidth="1"/>
    <col min="1523" max="1523" width="14.140625" style="2" customWidth="1"/>
    <col min="1524" max="1524" width="10.28515625" style="2" customWidth="1"/>
    <col min="1525" max="1525" width="17.140625" style="2" customWidth="1"/>
    <col min="1526" max="1526" width="12" style="2" customWidth="1"/>
    <col min="1527" max="1527" width="14.140625" style="2" customWidth="1"/>
    <col min="1528" max="1528" width="10.28515625" style="2" customWidth="1"/>
    <col min="1529" max="1529" width="17.140625" style="2" customWidth="1"/>
    <col min="1530" max="1530" width="12" style="2" customWidth="1"/>
    <col min="1531" max="1531" width="10.7109375" style="2" customWidth="1"/>
    <col min="1532" max="1534" width="0" style="2" hidden="1" customWidth="1"/>
    <col min="1535" max="1762" width="9.140625" style="2"/>
    <col min="1763" max="1763" width="5.140625" style="2" customWidth="1"/>
    <col min="1764" max="1764" width="32.42578125" style="2" customWidth="1"/>
    <col min="1765" max="1767" width="10.28515625" style="2" customWidth="1"/>
    <col min="1768" max="1769" width="12.42578125" style="2" customWidth="1"/>
    <col min="1770" max="1770" width="11.28515625" style="2" customWidth="1"/>
    <col min="1771" max="1771" width="12.42578125" style="2" customWidth="1"/>
    <col min="1772" max="1772" width="11.28515625" style="2" customWidth="1"/>
    <col min="1773" max="1773" width="12.42578125" style="2" customWidth="1"/>
    <col min="1774" max="1774" width="11.28515625" style="2" customWidth="1"/>
    <col min="1775" max="1775" width="12.42578125" style="2" customWidth="1"/>
    <col min="1776" max="1776" width="11.28515625" style="2" customWidth="1"/>
    <col min="1777" max="1777" width="12.42578125" style="2" customWidth="1"/>
    <col min="1778" max="1778" width="11.28515625" style="2" customWidth="1"/>
    <col min="1779" max="1779" width="14.140625" style="2" customWidth="1"/>
    <col min="1780" max="1780" width="10.28515625" style="2" customWidth="1"/>
    <col min="1781" max="1781" width="17.140625" style="2" customWidth="1"/>
    <col min="1782" max="1782" width="12" style="2" customWidth="1"/>
    <col min="1783" max="1783" width="14.140625" style="2" customWidth="1"/>
    <col min="1784" max="1784" width="10.28515625" style="2" customWidth="1"/>
    <col min="1785" max="1785" width="17.140625" style="2" customWidth="1"/>
    <col min="1786" max="1786" width="12" style="2" customWidth="1"/>
    <col min="1787" max="1787" width="10.7109375" style="2" customWidth="1"/>
    <col min="1788" max="1790" width="0" style="2" hidden="1" customWidth="1"/>
    <col min="1791" max="2018" width="9.140625" style="2"/>
    <col min="2019" max="2019" width="5.140625" style="2" customWidth="1"/>
    <col min="2020" max="2020" width="32.42578125" style="2" customWidth="1"/>
    <col min="2021" max="2023" width="10.28515625" style="2" customWidth="1"/>
    <col min="2024" max="2025" width="12.42578125" style="2" customWidth="1"/>
    <col min="2026" max="2026" width="11.28515625" style="2" customWidth="1"/>
    <col min="2027" max="2027" width="12.42578125" style="2" customWidth="1"/>
    <col min="2028" max="2028" width="11.28515625" style="2" customWidth="1"/>
    <col min="2029" max="2029" width="12.42578125" style="2" customWidth="1"/>
    <col min="2030" max="2030" width="11.28515625" style="2" customWidth="1"/>
    <col min="2031" max="2031" width="12.42578125" style="2" customWidth="1"/>
    <col min="2032" max="2032" width="11.28515625" style="2" customWidth="1"/>
    <col min="2033" max="2033" width="12.42578125" style="2" customWidth="1"/>
    <col min="2034" max="2034" width="11.28515625" style="2" customWidth="1"/>
    <col min="2035" max="2035" width="14.140625" style="2" customWidth="1"/>
    <col min="2036" max="2036" width="10.28515625" style="2" customWidth="1"/>
    <col min="2037" max="2037" width="17.140625" style="2" customWidth="1"/>
    <col min="2038" max="2038" width="12" style="2" customWidth="1"/>
    <col min="2039" max="2039" width="14.140625" style="2" customWidth="1"/>
    <col min="2040" max="2040" width="10.28515625" style="2" customWidth="1"/>
    <col min="2041" max="2041" width="17.140625" style="2" customWidth="1"/>
    <col min="2042" max="2042" width="12" style="2" customWidth="1"/>
    <col min="2043" max="2043" width="10.7109375" style="2" customWidth="1"/>
    <col min="2044" max="2046" width="0" style="2" hidden="1" customWidth="1"/>
    <col min="2047" max="2274" width="9.140625" style="2"/>
    <col min="2275" max="2275" width="5.140625" style="2" customWidth="1"/>
    <col min="2276" max="2276" width="32.42578125" style="2" customWidth="1"/>
    <col min="2277" max="2279" width="10.28515625" style="2" customWidth="1"/>
    <col min="2280" max="2281" width="12.42578125" style="2" customWidth="1"/>
    <col min="2282" max="2282" width="11.28515625" style="2" customWidth="1"/>
    <col min="2283" max="2283" width="12.42578125" style="2" customWidth="1"/>
    <col min="2284" max="2284" width="11.28515625" style="2" customWidth="1"/>
    <col min="2285" max="2285" width="12.42578125" style="2" customWidth="1"/>
    <col min="2286" max="2286" width="11.28515625" style="2" customWidth="1"/>
    <col min="2287" max="2287" width="12.42578125" style="2" customWidth="1"/>
    <col min="2288" max="2288" width="11.28515625" style="2" customWidth="1"/>
    <col min="2289" max="2289" width="12.42578125" style="2" customWidth="1"/>
    <col min="2290" max="2290" width="11.28515625" style="2" customWidth="1"/>
    <col min="2291" max="2291" width="14.140625" style="2" customWidth="1"/>
    <col min="2292" max="2292" width="10.28515625" style="2" customWidth="1"/>
    <col min="2293" max="2293" width="17.140625" style="2" customWidth="1"/>
    <col min="2294" max="2294" width="12" style="2" customWidth="1"/>
    <col min="2295" max="2295" width="14.140625" style="2" customWidth="1"/>
    <col min="2296" max="2296" width="10.28515625" style="2" customWidth="1"/>
    <col min="2297" max="2297" width="17.140625" style="2" customWidth="1"/>
    <col min="2298" max="2298" width="12" style="2" customWidth="1"/>
    <col min="2299" max="2299" width="10.7109375" style="2" customWidth="1"/>
    <col min="2300" max="2302" width="0" style="2" hidden="1" customWidth="1"/>
    <col min="2303" max="2530" width="9.140625" style="2"/>
    <col min="2531" max="2531" width="5.140625" style="2" customWidth="1"/>
    <col min="2532" max="2532" width="32.42578125" style="2" customWidth="1"/>
    <col min="2533" max="2535" width="10.28515625" style="2" customWidth="1"/>
    <col min="2536" max="2537" width="12.42578125" style="2" customWidth="1"/>
    <col min="2538" max="2538" width="11.28515625" style="2" customWidth="1"/>
    <col min="2539" max="2539" width="12.42578125" style="2" customWidth="1"/>
    <col min="2540" max="2540" width="11.28515625" style="2" customWidth="1"/>
    <col min="2541" max="2541" width="12.42578125" style="2" customWidth="1"/>
    <col min="2542" max="2542" width="11.28515625" style="2" customWidth="1"/>
    <col min="2543" max="2543" width="12.42578125" style="2" customWidth="1"/>
    <col min="2544" max="2544" width="11.28515625" style="2" customWidth="1"/>
    <col min="2545" max="2545" width="12.42578125" style="2" customWidth="1"/>
    <col min="2546" max="2546" width="11.28515625" style="2" customWidth="1"/>
    <col min="2547" max="2547" width="14.140625" style="2" customWidth="1"/>
    <col min="2548" max="2548" width="10.28515625" style="2" customWidth="1"/>
    <col min="2549" max="2549" width="17.140625" style="2" customWidth="1"/>
    <col min="2550" max="2550" width="12" style="2" customWidth="1"/>
    <col min="2551" max="2551" width="14.140625" style="2" customWidth="1"/>
    <col min="2552" max="2552" width="10.28515625" style="2" customWidth="1"/>
    <col min="2553" max="2553" width="17.140625" style="2" customWidth="1"/>
    <col min="2554" max="2554" width="12" style="2" customWidth="1"/>
    <col min="2555" max="2555" width="10.7109375" style="2" customWidth="1"/>
    <col min="2556" max="2558" width="0" style="2" hidden="1" customWidth="1"/>
    <col min="2559" max="2786" width="9.140625" style="2"/>
    <col min="2787" max="2787" width="5.140625" style="2" customWidth="1"/>
    <col min="2788" max="2788" width="32.42578125" style="2" customWidth="1"/>
    <col min="2789" max="2791" width="10.28515625" style="2" customWidth="1"/>
    <col min="2792" max="2793" width="12.42578125" style="2" customWidth="1"/>
    <col min="2794" max="2794" width="11.28515625" style="2" customWidth="1"/>
    <col min="2795" max="2795" width="12.42578125" style="2" customWidth="1"/>
    <col min="2796" max="2796" width="11.28515625" style="2" customWidth="1"/>
    <col min="2797" max="2797" width="12.42578125" style="2" customWidth="1"/>
    <col min="2798" max="2798" width="11.28515625" style="2" customWidth="1"/>
    <col min="2799" max="2799" width="12.42578125" style="2" customWidth="1"/>
    <col min="2800" max="2800" width="11.28515625" style="2" customWidth="1"/>
    <col min="2801" max="2801" width="12.42578125" style="2" customWidth="1"/>
    <col min="2802" max="2802" width="11.28515625" style="2" customWidth="1"/>
    <col min="2803" max="2803" width="14.140625" style="2" customWidth="1"/>
    <col min="2804" max="2804" width="10.28515625" style="2" customWidth="1"/>
    <col min="2805" max="2805" width="17.140625" style="2" customWidth="1"/>
    <col min="2806" max="2806" width="12" style="2" customWidth="1"/>
    <col min="2807" max="2807" width="14.140625" style="2" customWidth="1"/>
    <col min="2808" max="2808" width="10.28515625" style="2" customWidth="1"/>
    <col min="2809" max="2809" width="17.140625" style="2" customWidth="1"/>
    <col min="2810" max="2810" width="12" style="2" customWidth="1"/>
    <col min="2811" max="2811" width="10.7109375" style="2" customWidth="1"/>
    <col min="2812" max="2814" width="0" style="2" hidden="1" customWidth="1"/>
    <col min="2815" max="3042" width="9.140625" style="2"/>
    <col min="3043" max="3043" width="5.140625" style="2" customWidth="1"/>
    <col min="3044" max="3044" width="32.42578125" style="2" customWidth="1"/>
    <col min="3045" max="3047" width="10.28515625" style="2" customWidth="1"/>
    <col min="3048" max="3049" width="12.42578125" style="2" customWidth="1"/>
    <col min="3050" max="3050" width="11.28515625" style="2" customWidth="1"/>
    <col min="3051" max="3051" width="12.42578125" style="2" customWidth="1"/>
    <col min="3052" max="3052" width="11.28515625" style="2" customWidth="1"/>
    <col min="3053" max="3053" width="12.42578125" style="2" customWidth="1"/>
    <col min="3054" max="3054" width="11.28515625" style="2" customWidth="1"/>
    <col min="3055" max="3055" width="12.42578125" style="2" customWidth="1"/>
    <col min="3056" max="3056" width="11.28515625" style="2" customWidth="1"/>
    <col min="3057" max="3057" width="12.42578125" style="2" customWidth="1"/>
    <col min="3058" max="3058" width="11.28515625" style="2" customWidth="1"/>
    <col min="3059" max="3059" width="14.140625" style="2" customWidth="1"/>
    <col min="3060" max="3060" width="10.28515625" style="2" customWidth="1"/>
    <col min="3061" max="3061" width="17.140625" style="2" customWidth="1"/>
    <col min="3062" max="3062" width="12" style="2" customWidth="1"/>
    <col min="3063" max="3063" width="14.140625" style="2" customWidth="1"/>
    <col min="3064" max="3064" width="10.28515625" style="2" customWidth="1"/>
    <col min="3065" max="3065" width="17.140625" style="2" customWidth="1"/>
    <col min="3066" max="3066" width="12" style="2" customWidth="1"/>
    <col min="3067" max="3067" width="10.7109375" style="2" customWidth="1"/>
    <col min="3068" max="3070" width="0" style="2" hidden="1" customWidth="1"/>
    <col min="3071" max="3298" width="9.140625" style="2"/>
    <col min="3299" max="3299" width="5.140625" style="2" customWidth="1"/>
    <col min="3300" max="3300" width="32.42578125" style="2" customWidth="1"/>
    <col min="3301" max="3303" width="10.28515625" style="2" customWidth="1"/>
    <col min="3304" max="3305" width="12.42578125" style="2" customWidth="1"/>
    <col min="3306" max="3306" width="11.28515625" style="2" customWidth="1"/>
    <col min="3307" max="3307" width="12.42578125" style="2" customWidth="1"/>
    <col min="3308" max="3308" width="11.28515625" style="2" customWidth="1"/>
    <col min="3309" max="3309" width="12.42578125" style="2" customWidth="1"/>
    <col min="3310" max="3310" width="11.28515625" style="2" customWidth="1"/>
    <col min="3311" max="3311" width="12.42578125" style="2" customWidth="1"/>
    <col min="3312" max="3312" width="11.28515625" style="2" customWidth="1"/>
    <col min="3313" max="3313" width="12.42578125" style="2" customWidth="1"/>
    <col min="3314" max="3314" width="11.28515625" style="2" customWidth="1"/>
    <col min="3315" max="3315" width="14.140625" style="2" customWidth="1"/>
    <col min="3316" max="3316" width="10.28515625" style="2" customWidth="1"/>
    <col min="3317" max="3317" width="17.140625" style="2" customWidth="1"/>
    <col min="3318" max="3318" width="12" style="2" customWidth="1"/>
    <col min="3319" max="3319" width="14.140625" style="2" customWidth="1"/>
    <col min="3320" max="3320" width="10.28515625" style="2" customWidth="1"/>
    <col min="3321" max="3321" width="17.140625" style="2" customWidth="1"/>
    <col min="3322" max="3322" width="12" style="2" customWidth="1"/>
    <col min="3323" max="3323" width="10.7109375" style="2" customWidth="1"/>
    <col min="3324" max="3326" width="0" style="2" hidden="1" customWidth="1"/>
    <col min="3327" max="3554" width="9.140625" style="2"/>
    <col min="3555" max="3555" width="5.140625" style="2" customWidth="1"/>
    <col min="3556" max="3556" width="32.42578125" style="2" customWidth="1"/>
    <col min="3557" max="3559" width="10.28515625" style="2" customWidth="1"/>
    <col min="3560" max="3561" width="12.42578125" style="2" customWidth="1"/>
    <col min="3562" max="3562" width="11.28515625" style="2" customWidth="1"/>
    <col min="3563" max="3563" width="12.42578125" style="2" customWidth="1"/>
    <col min="3564" max="3564" width="11.28515625" style="2" customWidth="1"/>
    <col min="3565" max="3565" width="12.42578125" style="2" customWidth="1"/>
    <col min="3566" max="3566" width="11.28515625" style="2" customWidth="1"/>
    <col min="3567" max="3567" width="12.42578125" style="2" customWidth="1"/>
    <col min="3568" max="3568" width="11.28515625" style="2" customWidth="1"/>
    <col min="3569" max="3569" width="12.42578125" style="2" customWidth="1"/>
    <col min="3570" max="3570" width="11.28515625" style="2" customWidth="1"/>
    <col min="3571" max="3571" width="14.140625" style="2" customWidth="1"/>
    <col min="3572" max="3572" width="10.28515625" style="2" customWidth="1"/>
    <col min="3573" max="3573" width="17.140625" style="2" customWidth="1"/>
    <col min="3574" max="3574" width="12" style="2" customWidth="1"/>
    <col min="3575" max="3575" width="14.140625" style="2" customWidth="1"/>
    <col min="3576" max="3576" width="10.28515625" style="2" customWidth="1"/>
    <col min="3577" max="3577" width="17.140625" style="2" customWidth="1"/>
    <col min="3578" max="3578" width="12" style="2" customWidth="1"/>
    <col min="3579" max="3579" width="10.7109375" style="2" customWidth="1"/>
    <col min="3580" max="3582" width="0" style="2" hidden="1" customWidth="1"/>
    <col min="3583" max="3810" width="9.140625" style="2"/>
    <col min="3811" max="3811" width="5.140625" style="2" customWidth="1"/>
    <col min="3812" max="3812" width="32.42578125" style="2" customWidth="1"/>
    <col min="3813" max="3815" width="10.28515625" style="2" customWidth="1"/>
    <col min="3816" max="3817" width="12.42578125" style="2" customWidth="1"/>
    <col min="3818" max="3818" width="11.28515625" style="2" customWidth="1"/>
    <col min="3819" max="3819" width="12.42578125" style="2" customWidth="1"/>
    <col min="3820" max="3820" width="11.28515625" style="2" customWidth="1"/>
    <col min="3821" max="3821" width="12.42578125" style="2" customWidth="1"/>
    <col min="3822" max="3822" width="11.28515625" style="2" customWidth="1"/>
    <col min="3823" max="3823" width="12.42578125" style="2" customWidth="1"/>
    <col min="3824" max="3824" width="11.28515625" style="2" customWidth="1"/>
    <col min="3825" max="3825" width="12.42578125" style="2" customWidth="1"/>
    <col min="3826" max="3826" width="11.28515625" style="2" customWidth="1"/>
    <col min="3827" max="3827" width="14.140625" style="2" customWidth="1"/>
    <col min="3828" max="3828" width="10.28515625" style="2" customWidth="1"/>
    <col min="3829" max="3829" width="17.140625" style="2" customWidth="1"/>
    <col min="3830" max="3830" width="12" style="2" customWidth="1"/>
    <col min="3831" max="3831" width="14.140625" style="2" customWidth="1"/>
    <col min="3832" max="3832" width="10.28515625" style="2" customWidth="1"/>
    <col min="3833" max="3833" width="17.140625" style="2" customWidth="1"/>
    <col min="3834" max="3834" width="12" style="2" customWidth="1"/>
    <col min="3835" max="3835" width="10.7109375" style="2" customWidth="1"/>
    <col min="3836" max="3838" width="0" style="2" hidden="1" customWidth="1"/>
    <col min="3839" max="4066" width="9.140625" style="2"/>
    <col min="4067" max="4067" width="5.140625" style="2" customWidth="1"/>
    <col min="4068" max="4068" width="32.42578125" style="2" customWidth="1"/>
    <col min="4069" max="4071" width="10.28515625" style="2" customWidth="1"/>
    <col min="4072" max="4073" width="12.42578125" style="2" customWidth="1"/>
    <col min="4074" max="4074" width="11.28515625" style="2" customWidth="1"/>
    <col min="4075" max="4075" width="12.42578125" style="2" customWidth="1"/>
    <col min="4076" max="4076" width="11.28515625" style="2" customWidth="1"/>
    <col min="4077" max="4077" width="12.42578125" style="2" customWidth="1"/>
    <col min="4078" max="4078" width="11.28515625" style="2" customWidth="1"/>
    <col min="4079" max="4079" width="12.42578125" style="2" customWidth="1"/>
    <col min="4080" max="4080" width="11.28515625" style="2" customWidth="1"/>
    <col min="4081" max="4081" width="12.42578125" style="2" customWidth="1"/>
    <col min="4082" max="4082" width="11.28515625" style="2" customWidth="1"/>
    <col min="4083" max="4083" width="14.140625" style="2" customWidth="1"/>
    <col min="4084" max="4084" width="10.28515625" style="2" customWidth="1"/>
    <col min="4085" max="4085" width="17.140625" style="2" customWidth="1"/>
    <col min="4086" max="4086" width="12" style="2" customWidth="1"/>
    <col min="4087" max="4087" width="14.140625" style="2" customWidth="1"/>
    <col min="4088" max="4088" width="10.28515625" style="2" customWidth="1"/>
    <col min="4089" max="4089" width="17.140625" style="2" customWidth="1"/>
    <col min="4090" max="4090" width="12" style="2" customWidth="1"/>
    <col min="4091" max="4091" width="10.7109375" style="2" customWidth="1"/>
    <col min="4092" max="4094" width="0" style="2" hidden="1" customWidth="1"/>
    <col min="4095" max="4322" width="9.140625" style="2"/>
    <col min="4323" max="4323" width="5.140625" style="2" customWidth="1"/>
    <col min="4324" max="4324" width="32.42578125" style="2" customWidth="1"/>
    <col min="4325" max="4327" width="10.28515625" style="2" customWidth="1"/>
    <col min="4328" max="4329" width="12.42578125" style="2" customWidth="1"/>
    <col min="4330" max="4330" width="11.28515625" style="2" customWidth="1"/>
    <col min="4331" max="4331" width="12.42578125" style="2" customWidth="1"/>
    <col min="4332" max="4332" width="11.28515625" style="2" customWidth="1"/>
    <col min="4333" max="4333" width="12.42578125" style="2" customWidth="1"/>
    <col min="4334" max="4334" width="11.28515625" style="2" customWidth="1"/>
    <col min="4335" max="4335" width="12.42578125" style="2" customWidth="1"/>
    <col min="4336" max="4336" width="11.28515625" style="2" customWidth="1"/>
    <col min="4337" max="4337" width="12.42578125" style="2" customWidth="1"/>
    <col min="4338" max="4338" width="11.28515625" style="2" customWidth="1"/>
    <col min="4339" max="4339" width="14.140625" style="2" customWidth="1"/>
    <col min="4340" max="4340" width="10.28515625" style="2" customWidth="1"/>
    <col min="4341" max="4341" width="17.140625" style="2" customWidth="1"/>
    <col min="4342" max="4342" width="12" style="2" customWidth="1"/>
    <col min="4343" max="4343" width="14.140625" style="2" customWidth="1"/>
    <col min="4344" max="4344" width="10.28515625" style="2" customWidth="1"/>
    <col min="4345" max="4345" width="17.140625" style="2" customWidth="1"/>
    <col min="4346" max="4346" width="12" style="2" customWidth="1"/>
    <col min="4347" max="4347" width="10.7109375" style="2" customWidth="1"/>
    <col min="4348" max="4350" width="0" style="2" hidden="1" customWidth="1"/>
    <col min="4351" max="4578" width="9.140625" style="2"/>
    <col min="4579" max="4579" width="5.140625" style="2" customWidth="1"/>
    <col min="4580" max="4580" width="32.42578125" style="2" customWidth="1"/>
    <col min="4581" max="4583" width="10.28515625" style="2" customWidth="1"/>
    <col min="4584" max="4585" width="12.42578125" style="2" customWidth="1"/>
    <col min="4586" max="4586" width="11.28515625" style="2" customWidth="1"/>
    <col min="4587" max="4587" width="12.42578125" style="2" customWidth="1"/>
    <col min="4588" max="4588" width="11.28515625" style="2" customWidth="1"/>
    <col min="4589" max="4589" width="12.42578125" style="2" customWidth="1"/>
    <col min="4590" max="4590" width="11.28515625" style="2" customWidth="1"/>
    <col min="4591" max="4591" width="12.42578125" style="2" customWidth="1"/>
    <col min="4592" max="4592" width="11.28515625" style="2" customWidth="1"/>
    <col min="4593" max="4593" width="12.42578125" style="2" customWidth="1"/>
    <col min="4594" max="4594" width="11.28515625" style="2" customWidth="1"/>
    <col min="4595" max="4595" width="14.140625" style="2" customWidth="1"/>
    <col min="4596" max="4596" width="10.28515625" style="2" customWidth="1"/>
    <col min="4597" max="4597" width="17.140625" style="2" customWidth="1"/>
    <col min="4598" max="4598" width="12" style="2" customWidth="1"/>
    <col min="4599" max="4599" width="14.140625" style="2" customWidth="1"/>
    <col min="4600" max="4600" width="10.28515625" style="2" customWidth="1"/>
    <col min="4601" max="4601" width="17.140625" style="2" customWidth="1"/>
    <col min="4602" max="4602" width="12" style="2" customWidth="1"/>
    <col min="4603" max="4603" width="10.7109375" style="2" customWidth="1"/>
    <col min="4604" max="4606" width="0" style="2" hidden="1" customWidth="1"/>
    <col min="4607" max="4834" width="9.140625" style="2"/>
    <col min="4835" max="4835" width="5.140625" style="2" customWidth="1"/>
    <col min="4836" max="4836" width="32.42578125" style="2" customWidth="1"/>
    <col min="4837" max="4839" width="10.28515625" style="2" customWidth="1"/>
    <col min="4840" max="4841" width="12.42578125" style="2" customWidth="1"/>
    <col min="4842" max="4842" width="11.28515625" style="2" customWidth="1"/>
    <col min="4843" max="4843" width="12.42578125" style="2" customWidth="1"/>
    <col min="4844" max="4844" width="11.28515625" style="2" customWidth="1"/>
    <col min="4845" max="4845" width="12.42578125" style="2" customWidth="1"/>
    <col min="4846" max="4846" width="11.28515625" style="2" customWidth="1"/>
    <col min="4847" max="4847" width="12.42578125" style="2" customWidth="1"/>
    <col min="4848" max="4848" width="11.28515625" style="2" customWidth="1"/>
    <col min="4849" max="4849" width="12.42578125" style="2" customWidth="1"/>
    <col min="4850" max="4850" width="11.28515625" style="2" customWidth="1"/>
    <col min="4851" max="4851" width="14.140625" style="2" customWidth="1"/>
    <col min="4852" max="4852" width="10.28515625" style="2" customWidth="1"/>
    <col min="4853" max="4853" width="17.140625" style="2" customWidth="1"/>
    <col min="4854" max="4854" width="12" style="2" customWidth="1"/>
    <col min="4855" max="4855" width="14.140625" style="2" customWidth="1"/>
    <col min="4856" max="4856" width="10.28515625" style="2" customWidth="1"/>
    <col min="4857" max="4857" width="17.140625" style="2" customWidth="1"/>
    <col min="4858" max="4858" width="12" style="2" customWidth="1"/>
    <col min="4859" max="4859" width="10.7109375" style="2" customWidth="1"/>
    <col min="4860" max="4862" width="0" style="2" hidden="1" customWidth="1"/>
    <col min="4863" max="5090" width="9.140625" style="2"/>
    <col min="5091" max="5091" width="5.140625" style="2" customWidth="1"/>
    <col min="5092" max="5092" width="32.42578125" style="2" customWidth="1"/>
    <col min="5093" max="5095" width="10.28515625" style="2" customWidth="1"/>
    <col min="5096" max="5097" width="12.42578125" style="2" customWidth="1"/>
    <col min="5098" max="5098" width="11.28515625" style="2" customWidth="1"/>
    <col min="5099" max="5099" width="12.42578125" style="2" customWidth="1"/>
    <col min="5100" max="5100" width="11.28515625" style="2" customWidth="1"/>
    <col min="5101" max="5101" width="12.42578125" style="2" customWidth="1"/>
    <col min="5102" max="5102" width="11.28515625" style="2" customWidth="1"/>
    <col min="5103" max="5103" width="12.42578125" style="2" customWidth="1"/>
    <col min="5104" max="5104" width="11.28515625" style="2" customWidth="1"/>
    <col min="5105" max="5105" width="12.42578125" style="2" customWidth="1"/>
    <col min="5106" max="5106" width="11.28515625" style="2" customWidth="1"/>
    <col min="5107" max="5107" width="14.140625" style="2" customWidth="1"/>
    <col min="5108" max="5108" width="10.28515625" style="2" customWidth="1"/>
    <col min="5109" max="5109" width="17.140625" style="2" customWidth="1"/>
    <col min="5110" max="5110" width="12" style="2" customWidth="1"/>
    <col min="5111" max="5111" width="14.140625" style="2" customWidth="1"/>
    <col min="5112" max="5112" width="10.28515625" style="2" customWidth="1"/>
    <col min="5113" max="5113" width="17.140625" style="2" customWidth="1"/>
    <col min="5114" max="5114" width="12" style="2" customWidth="1"/>
    <col min="5115" max="5115" width="10.7109375" style="2" customWidth="1"/>
    <col min="5116" max="5118" width="0" style="2" hidden="1" customWidth="1"/>
    <col min="5119" max="5346" width="9.140625" style="2"/>
    <col min="5347" max="5347" width="5.140625" style="2" customWidth="1"/>
    <col min="5348" max="5348" width="32.42578125" style="2" customWidth="1"/>
    <col min="5349" max="5351" width="10.28515625" style="2" customWidth="1"/>
    <col min="5352" max="5353" width="12.42578125" style="2" customWidth="1"/>
    <col min="5354" max="5354" width="11.28515625" style="2" customWidth="1"/>
    <col min="5355" max="5355" width="12.42578125" style="2" customWidth="1"/>
    <col min="5356" max="5356" width="11.28515625" style="2" customWidth="1"/>
    <col min="5357" max="5357" width="12.42578125" style="2" customWidth="1"/>
    <col min="5358" max="5358" width="11.28515625" style="2" customWidth="1"/>
    <col min="5359" max="5359" width="12.42578125" style="2" customWidth="1"/>
    <col min="5360" max="5360" width="11.28515625" style="2" customWidth="1"/>
    <col min="5361" max="5361" width="12.42578125" style="2" customWidth="1"/>
    <col min="5362" max="5362" width="11.28515625" style="2" customWidth="1"/>
    <col min="5363" max="5363" width="14.140625" style="2" customWidth="1"/>
    <col min="5364" max="5364" width="10.28515625" style="2" customWidth="1"/>
    <col min="5365" max="5365" width="17.140625" style="2" customWidth="1"/>
    <col min="5366" max="5366" width="12" style="2" customWidth="1"/>
    <col min="5367" max="5367" width="14.140625" style="2" customWidth="1"/>
    <col min="5368" max="5368" width="10.28515625" style="2" customWidth="1"/>
    <col min="5369" max="5369" width="17.140625" style="2" customWidth="1"/>
    <col min="5370" max="5370" width="12" style="2" customWidth="1"/>
    <col min="5371" max="5371" width="10.7109375" style="2" customWidth="1"/>
    <col min="5372" max="5374" width="0" style="2" hidden="1" customWidth="1"/>
    <col min="5375" max="5602" width="9.140625" style="2"/>
    <col min="5603" max="5603" width="5.140625" style="2" customWidth="1"/>
    <col min="5604" max="5604" width="32.42578125" style="2" customWidth="1"/>
    <col min="5605" max="5607" width="10.28515625" style="2" customWidth="1"/>
    <col min="5608" max="5609" width="12.42578125" style="2" customWidth="1"/>
    <col min="5610" max="5610" width="11.28515625" style="2" customWidth="1"/>
    <col min="5611" max="5611" width="12.42578125" style="2" customWidth="1"/>
    <col min="5612" max="5612" width="11.28515625" style="2" customWidth="1"/>
    <col min="5613" max="5613" width="12.42578125" style="2" customWidth="1"/>
    <col min="5614" max="5614" width="11.28515625" style="2" customWidth="1"/>
    <col min="5615" max="5615" width="12.42578125" style="2" customWidth="1"/>
    <col min="5616" max="5616" width="11.28515625" style="2" customWidth="1"/>
    <col min="5617" max="5617" width="12.42578125" style="2" customWidth="1"/>
    <col min="5618" max="5618" width="11.28515625" style="2" customWidth="1"/>
    <col min="5619" max="5619" width="14.140625" style="2" customWidth="1"/>
    <col min="5620" max="5620" width="10.28515625" style="2" customWidth="1"/>
    <col min="5621" max="5621" width="17.140625" style="2" customWidth="1"/>
    <col min="5622" max="5622" width="12" style="2" customWidth="1"/>
    <col min="5623" max="5623" width="14.140625" style="2" customWidth="1"/>
    <col min="5624" max="5624" width="10.28515625" style="2" customWidth="1"/>
    <col min="5625" max="5625" width="17.140625" style="2" customWidth="1"/>
    <col min="5626" max="5626" width="12" style="2" customWidth="1"/>
    <col min="5627" max="5627" width="10.7109375" style="2" customWidth="1"/>
    <col min="5628" max="5630" width="0" style="2" hidden="1" customWidth="1"/>
    <col min="5631" max="5858" width="9.140625" style="2"/>
    <col min="5859" max="5859" width="5.140625" style="2" customWidth="1"/>
    <col min="5860" max="5860" width="32.42578125" style="2" customWidth="1"/>
    <col min="5861" max="5863" width="10.28515625" style="2" customWidth="1"/>
    <col min="5864" max="5865" width="12.42578125" style="2" customWidth="1"/>
    <col min="5866" max="5866" width="11.28515625" style="2" customWidth="1"/>
    <col min="5867" max="5867" width="12.42578125" style="2" customWidth="1"/>
    <col min="5868" max="5868" width="11.28515625" style="2" customWidth="1"/>
    <col min="5869" max="5869" width="12.42578125" style="2" customWidth="1"/>
    <col min="5870" max="5870" width="11.28515625" style="2" customWidth="1"/>
    <col min="5871" max="5871" width="12.42578125" style="2" customWidth="1"/>
    <col min="5872" max="5872" width="11.28515625" style="2" customWidth="1"/>
    <col min="5873" max="5873" width="12.42578125" style="2" customWidth="1"/>
    <col min="5874" max="5874" width="11.28515625" style="2" customWidth="1"/>
    <col min="5875" max="5875" width="14.140625" style="2" customWidth="1"/>
    <col min="5876" max="5876" width="10.28515625" style="2" customWidth="1"/>
    <col min="5877" max="5877" width="17.140625" style="2" customWidth="1"/>
    <col min="5878" max="5878" width="12" style="2" customWidth="1"/>
    <col min="5879" max="5879" width="14.140625" style="2" customWidth="1"/>
    <col min="5880" max="5880" width="10.28515625" style="2" customWidth="1"/>
    <col min="5881" max="5881" width="17.140625" style="2" customWidth="1"/>
    <col min="5882" max="5882" width="12" style="2" customWidth="1"/>
    <col min="5883" max="5883" width="10.7109375" style="2" customWidth="1"/>
    <col min="5884" max="5886" width="0" style="2" hidden="1" customWidth="1"/>
    <col min="5887" max="6114" width="9.140625" style="2"/>
    <col min="6115" max="6115" width="5.140625" style="2" customWidth="1"/>
    <col min="6116" max="6116" width="32.42578125" style="2" customWidth="1"/>
    <col min="6117" max="6119" width="10.28515625" style="2" customWidth="1"/>
    <col min="6120" max="6121" width="12.42578125" style="2" customWidth="1"/>
    <col min="6122" max="6122" width="11.28515625" style="2" customWidth="1"/>
    <col min="6123" max="6123" width="12.42578125" style="2" customWidth="1"/>
    <col min="6124" max="6124" width="11.28515625" style="2" customWidth="1"/>
    <col min="6125" max="6125" width="12.42578125" style="2" customWidth="1"/>
    <col min="6126" max="6126" width="11.28515625" style="2" customWidth="1"/>
    <col min="6127" max="6127" width="12.42578125" style="2" customWidth="1"/>
    <col min="6128" max="6128" width="11.28515625" style="2" customWidth="1"/>
    <col min="6129" max="6129" width="12.42578125" style="2" customWidth="1"/>
    <col min="6130" max="6130" width="11.28515625" style="2" customWidth="1"/>
    <col min="6131" max="6131" width="14.140625" style="2" customWidth="1"/>
    <col min="6132" max="6132" width="10.28515625" style="2" customWidth="1"/>
    <col min="6133" max="6133" width="17.140625" style="2" customWidth="1"/>
    <col min="6134" max="6134" width="12" style="2" customWidth="1"/>
    <col min="6135" max="6135" width="14.140625" style="2" customWidth="1"/>
    <col min="6136" max="6136" width="10.28515625" style="2" customWidth="1"/>
    <col min="6137" max="6137" width="17.140625" style="2" customWidth="1"/>
    <col min="6138" max="6138" width="12" style="2" customWidth="1"/>
    <col min="6139" max="6139" width="10.7109375" style="2" customWidth="1"/>
    <col min="6140" max="6142" width="0" style="2" hidden="1" customWidth="1"/>
    <col min="6143" max="6370" width="9.140625" style="2"/>
    <col min="6371" max="6371" width="5.140625" style="2" customWidth="1"/>
    <col min="6372" max="6372" width="32.42578125" style="2" customWidth="1"/>
    <col min="6373" max="6375" width="10.28515625" style="2" customWidth="1"/>
    <col min="6376" max="6377" width="12.42578125" style="2" customWidth="1"/>
    <col min="6378" max="6378" width="11.28515625" style="2" customWidth="1"/>
    <col min="6379" max="6379" width="12.42578125" style="2" customWidth="1"/>
    <col min="6380" max="6380" width="11.28515625" style="2" customWidth="1"/>
    <col min="6381" max="6381" width="12.42578125" style="2" customWidth="1"/>
    <col min="6382" max="6382" width="11.28515625" style="2" customWidth="1"/>
    <col min="6383" max="6383" width="12.42578125" style="2" customWidth="1"/>
    <col min="6384" max="6384" width="11.28515625" style="2" customWidth="1"/>
    <col min="6385" max="6385" width="12.42578125" style="2" customWidth="1"/>
    <col min="6386" max="6386" width="11.28515625" style="2" customWidth="1"/>
    <col min="6387" max="6387" width="14.140625" style="2" customWidth="1"/>
    <col min="6388" max="6388" width="10.28515625" style="2" customWidth="1"/>
    <col min="6389" max="6389" width="17.140625" style="2" customWidth="1"/>
    <col min="6390" max="6390" width="12" style="2" customWidth="1"/>
    <col min="6391" max="6391" width="14.140625" style="2" customWidth="1"/>
    <col min="6392" max="6392" width="10.28515625" style="2" customWidth="1"/>
    <col min="6393" max="6393" width="17.140625" style="2" customWidth="1"/>
    <col min="6394" max="6394" width="12" style="2" customWidth="1"/>
    <col min="6395" max="6395" width="10.7109375" style="2" customWidth="1"/>
    <col min="6396" max="6398" width="0" style="2" hidden="1" customWidth="1"/>
    <col min="6399" max="6626" width="9.140625" style="2"/>
    <col min="6627" max="6627" width="5.140625" style="2" customWidth="1"/>
    <col min="6628" max="6628" width="32.42578125" style="2" customWidth="1"/>
    <col min="6629" max="6631" width="10.28515625" style="2" customWidth="1"/>
    <col min="6632" max="6633" width="12.42578125" style="2" customWidth="1"/>
    <col min="6634" max="6634" width="11.28515625" style="2" customWidth="1"/>
    <col min="6635" max="6635" width="12.42578125" style="2" customWidth="1"/>
    <col min="6636" max="6636" width="11.28515625" style="2" customWidth="1"/>
    <col min="6637" max="6637" width="12.42578125" style="2" customWidth="1"/>
    <col min="6638" max="6638" width="11.28515625" style="2" customWidth="1"/>
    <col min="6639" max="6639" width="12.42578125" style="2" customWidth="1"/>
    <col min="6640" max="6640" width="11.28515625" style="2" customWidth="1"/>
    <col min="6641" max="6641" width="12.42578125" style="2" customWidth="1"/>
    <col min="6642" max="6642" width="11.28515625" style="2" customWidth="1"/>
    <col min="6643" max="6643" width="14.140625" style="2" customWidth="1"/>
    <col min="6644" max="6644" width="10.28515625" style="2" customWidth="1"/>
    <col min="6645" max="6645" width="17.140625" style="2" customWidth="1"/>
    <col min="6646" max="6646" width="12" style="2" customWidth="1"/>
    <col min="6647" max="6647" width="14.140625" style="2" customWidth="1"/>
    <col min="6648" max="6648" width="10.28515625" style="2" customWidth="1"/>
    <col min="6649" max="6649" width="17.140625" style="2" customWidth="1"/>
    <col min="6650" max="6650" width="12" style="2" customWidth="1"/>
    <col min="6651" max="6651" width="10.7109375" style="2" customWidth="1"/>
    <col min="6652" max="6654" width="0" style="2" hidden="1" customWidth="1"/>
    <col min="6655" max="6882" width="9.140625" style="2"/>
    <col min="6883" max="6883" width="5.140625" style="2" customWidth="1"/>
    <col min="6884" max="6884" width="32.42578125" style="2" customWidth="1"/>
    <col min="6885" max="6887" width="10.28515625" style="2" customWidth="1"/>
    <col min="6888" max="6889" width="12.42578125" style="2" customWidth="1"/>
    <col min="6890" max="6890" width="11.28515625" style="2" customWidth="1"/>
    <col min="6891" max="6891" width="12.42578125" style="2" customWidth="1"/>
    <col min="6892" max="6892" width="11.28515625" style="2" customWidth="1"/>
    <col min="6893" max="6893" width="12.42578125" style="2" customWidth="1"/>
    <col min="6894" max="6894" width="11.28515625" style="2" customWidth="1"/>
    <col min="6895" max="6895" width="12.42578125" style="2" customWidth="1"/>
    <col min="6896" max="6896" width="11.28515625" style="2" customWidth="1"/>
    <col min="6897" max="6897" width="12.42578125" style="2" customWidth="1"/>
    <col min="6898" max="6898" width="11.28515625" style="2" customWidth="1"/>
    <col min="6899" max="6899" width="14.140625" style="2" customWidth="1"/>
    <col min="6900" max="6900" width="10.28515625" style="2" customWidth="1"/>
    <col min="6901" max="6901" width="17.140625" style="2" customWidth="1"/>
    <col min="6902" max="6902" width="12" style="2" customWidth="1"/>
    <col min="6903" max="6903" width="14.140625" style="2" customWidth="1"/>
    <col min="6904" max="6904" width="10.28515625" style="2" customWidth="1"/>
    <col min="6905" max="6905" width="17.140625" style="2" customWidth="1"/>
    <col min="6906" max="6906" width="12" style="2" customWidth="1"/>
    <col min="6907" max="6907" width="10.7109375" style="2" customWidth="1"/>
    <col min="6908" max="6910" width="0" style="2" hidden="1" customWidth="1"/>
    <col min="6911" max="7138" width="9.140625" style="2"/>
    <col min="7139" max="7139" width="5.140625" style="2" customWidth="1"/>
    <col min="7140" max="7140" width="32.42578125" style="2" customWidth="1"/>
    <col min="7141" max="7143" width="10.28515625" style="2" customWidth="1"/>
    <col min="7144" max="7145" width="12.42578125" style="2" customWidth="1"/>
    <col min="7146" max="7146" width="11.28515625" style="2" customWidth="1"/>
    <col min="7147" max="7147" width="12.42578125" style="2" customWidth="1"/>
    <col min="7148" max="7148" width="11.28515625" style="2" customWidth="1"/>
    <col min="7149" max="7149" width="12.42578125" style="2" customWidth="1"/>
    <col min="7150" max="7150" width="11.28515625" style="2" customWidth="1"/>
    <col min="7151" max="7151" width="12.42578125" style="2" customWidth="1"/>
    <col min="7152" max="7152" width="11.28515625" style="2" customWidth="1"/>
    <col min="7153" max="7153" width="12.42578125" style="2" customWidth="1"/>
    <col min="7154" max="7154" width="11.28515625" style="2" customWidth="1"/>
    <col min="7155" max="7155" width="14.140625" style="2" customWidth="1"/>
    <col min="7156" max="7156" width="10.28515625" style="2" customWidth="1"/>
    <col min="7157" max="7157" width="17.140625" style="2" customWidth="1"/>
    <col min="7158" max="7158" width="12" style="2" customWidth="1"/>
    <col min="7159" max="7159" width="14.140625" style="2" customWidth="1"/>
    <col min="7160" max="7160" width="10.28515625" style="2" customWidth="1"/>
    <col min="7161" max="7161" width="17.140625" style="2" customWidth="1"/>
    <col min="7162" max="7162" width="12" style="2" customWidth="1"/>
    <col min="7163" max="7163" width="10.7109375" style="2" customWidth="1"/>
    <col min="7164" max="7166" width="0" style="2" hidden="1" customWidth="1"/>
    <col min="7167" max="7394" width="9.140625" style="2"/>
    <col min="7395" max="7395" width="5.140625" style="2" customWidth="1"/>
    <col min="7396" max="7396" width="32.42578125" style="2" customWidth="1"/>
    <col min="7397" max="7399" width="10.28515625" style="2" customWidth="1"/>
    <col min="7400" max="7401" width="12.42578125" style="2" customWidth="1"/>
    <col min="7402" max="7402" width="11.28515625" style="2" customWidth="1"/>
    <col min="7403" max="7403" width="12.42578125" style="2" customWidth="1"/>
    <col min="7404" max="7404" width="11.28515625" style="2" customWidth="1"/>
    <col min="7405" max="7405" width="12.42578125" style="2" customWidth="1"/>
    <col min="7406" max="7406" width="11.28515625" style="2" customWidth="1"/>
    <col min="7407" max="7407" width="12.42578125" style="2" customWidth="1"/>
    <col min="7408" max="7408" width="11.28515625" style="2" customWidth="1"/>
    <col min="7409" max="7409" width="12.42578125" style="2" customWidth="1"/>
    <col min="7410" max="7410" width="11.28515625" style="2" customWidth="1"/>
    <col min="7411" max="7411" width="14.140625" style="2" customWidth="1"/>
    <col min="7412" max="7412" width="10.28515625" style="2" customWidth="1"/>
    <col min="7413" max="7413" width="17.140625" style="2" customWidth="1"/>
    <col min="7414" max="7414" width="12" style="2" customWidth="1"/>
    <col min="7415" max="7415" width="14.140625" style="2" customWidth="1"/>
    <col min="7416" max="7416" width="10.28515625" style="2" customWidth="1"/>
    <col min="7417" max="7417" width="17.140625" style="2" customWidth="1"/>
    <col min="7418" max="7418" width="12" style="2" customWidth="1"/>
    <col min="7419" max="7419" width="10.7109375" style="2" customWidth="1"/>
    <col min="7420" max="7422" width="0" style="2" hidden="1" customWidth="1"/>
    <col min="7423" max="7650" width="9.140625" style="2"/>
    <col min="7651" max="7651" width="5.140625" style="2" customWidth="1"/>
    <col min="7652" max="7652" width="32.42578125" style="2" customWidth="1"/>
    <col min="7653" max="7655" width="10.28515625" style="2" customWidth="1"/>
    <col min="7656" max="7657" width="12.42578125" style="2" customWidth="1"/>
    <col min="7658" max="7658" width="11.28515625" style="2" customWidth="1"/>
    <col min="7659" max="7659" width="12.42578125" style="2" customWidth="1"/>
    <col min="7660" max="7660" width="11.28515625" style="2" customWidth="1"/>
    <col min="7661" max="7661" width="12.42578125" style="2" customWidth="1"/>
    <col min="7662" max="7662" width="11.28515625" style="2" customWidth="1"/>
    <col min="7663" max="7663" width="12.42578125" style="2" customWidth="1"/>
    <col min="7664" max="7664" width="11.28515625" style="2" customWidth="1"/>
    <col min="7665" max="7665" width="12.42578125" style="2" customWidth="1"/>
    <col min="7666" max="7666" width="11.28515625" style="2" customWidth="1"/>
    <col min="7667" max="7667" width="14.140625" style="2" customWidth="1"/>
    <col min="7668" max="7668" width="10.28515625" style="2" customWidth="1"/>
    <col min="7669" max="7669" width="17.140625" style="2" customWidth="1"/>
    <col min="7670" max="7670" width="12" style="2" customWidth="1"/>
    <col min="7671" max="7671" width="14.140625" style="2" customWidth="1"/>
    <col min="7672" max="7672" width="10.28515625" style="2" customWidth="1"/>
    <col min="7673" max="7673" width="17.140625" style="2" customWidth="1"/>
    <col min="7674" max="7674" width="12" style="2" customWidth="1"/>
    <col min="7675" max="7675" width="10.7109375" style="2" customWidth="1"/>
    <col min="7676" max="7678" width="0" style="2" hidden="1" customWidth="1"/>
    <col min="7679" max="7906" width="9.140625" style="2"/>
    <col min="7907" max="7907" width="5.140625" style="2" customWidth="1"/>
    <col min="7908" max="7908" width="32.42578125" style="2" customWidth="1"/>
    <col min="7909" max="7911" width="10.28515625" style="2" customWidth="1"/>
    <col min="7912" max="7913" width="12.42578125" style="2" customWidth="1"/>
    <col min="7914" max="7914" width="11.28515625" style="2" customWidth="1"/>
    <col min="7915" max="7915" width="12.42578125" style="2" customWidth="1"/>
    <col min="7916" max="7916" width="11.28515625" style="2" customWidth="1"/>
    <col min="7917" max="7917" width="12.42578125" style="2" customWidth="1"/>
    <col min="7918" max="7918" width="11.28515625" style="2" customWidth="1"/>
    <col min="7919" max="7919" width="12.42578125" style="2" customWidth="1"/>
    <col min="7920" max="7920" width="11.28515625" style="2" customWidth="1"/>
    <col min="7921" max="7921" width="12.42578125" style="2" customWidth="1"/>
    <col min="7922" max="7922" width="11.28515625" style="2" customWidth="1"/>
    <col min="7923" max="7923" width="14.140625" style="2" customWidth="1"/>
    <col min="7924" max="7924" width="10.28515625" style="2" customWidth="1"/>
    <col min="7925" max="7925" width="17.140625" style="2" customWidth="1"/>
    <col min="7926" max="7926" width="12" style="2" customWidth="1"/>
    <col min="7927" max="7927" width="14.140625" style="2" customWidth="1"/>
    <col min="7928" max="7928" width="10.28515625" style="2" customWidth="1"/>
    <col min="7929" max="7929" width="17.140625" style="2" customWidth="1"/>
    <col min="7930" max="7930" width="12" style="2" customWidth="1"/>
    <col min="7931" max="7931" width="10.7109375" style="2" customWidth="1"/>
    <col min="7932" max="7934" width="0" style="2" hidden="1" customWidth="1"/>
    <col min="7935" max="8162" width="9.140625" style="2"/>
    <col min="8163" max="8163" width="5.140625" style="2" customWidth="1"/>
    <col min="8164" max="8164" width="32.42578125" style="2" customWidth="1"/>
    <col min="8165" max="8167" width="10.28515625" style="2" customWidth="1"/>
    <col min="8168" max="8169" width="12.42578125" style="2" customWidth="1"/>
    <col min="8170" max="8170" width="11.28515625" style="2" customWidth="1"/>
    <col min="8171" max="8171" width="12.42578125" style="2" customWidth="1"/>
    <col min="8172" max="8172" width="11.28515625" style="2" customWidth="1"/>
    <col min="8173" max="8173" width="12.42578125" style="2" customWidth="1"/>
    <col min="8174" max="8174" width="11.28515625" style="2" customWidth="1"/>
    <col min="8175" max="8175" width="12.42578125" style="2" customWidth="1"/>
    <col min="8176" max="8176" width="11.28515625" style="2" customWidth="1"/>
    <col min="8177" max="8177" width="12.42578125" style="2" customWidth="1"/>
    <col min="8178" max="8178" width="11.28515625" style="2" customWidth="1"/>
    <col min="8179" max="8179" width="14.140625" style="2" customWidth="1"/>
    <col min="8180" max="8180" width="10.28515625" style="2" customWidth="1"/>
    <col min="8181" max="8181" width="17.140625" style="2" customWidth="1"/>
    <col min="8182" max="8182" width="12" style="2" customWidth="1"/>
    <col min="8183" max="8183" width="14.140625" style="2" customWidth="1"/>
    <col min="8184" max="8184" width="10.28515625" style="2" customWidth="1"/>
    <col min="8185" max="8185" width="17.140625" style="2" customWidth="1"/>
    <col min="8186" max="8186" width="12" style="2" customWidth="1"/>
    <col min="8187" max="8187" width="10.7109375" style="2" customWidth="1"/>
    <col min="8188" max="8190" width="0" style="2" hidden="1" customWidth="1"/>
    <col min="8191" max="8418" width="9.140625" style="2"/>
    <col min="8419" max="8419" width="5.140625" style="2" customWidth="1"/>
    <col min="8420" max="8420" width="32.42578125" style="2" customWidth="1"/>
    <col min="8421" max="8423" width="10.28515625" style="2" customWidth="1"/>
    <col min="8424" max="8425" width="12.42578125" style="2" customWidth="1"/>
    <col min="8426" max="8426" width="11.28515625" style="2" customWidth="1"/>
    <col min="8427" max="8427" width="12.42578125" style="2" customWidth="1"/>
    <col min="8428" max="8428" width="11.28515625" style="2" customWidth="1"/>
    <col min="8429" max="8429" width="12.42578125" style="2" customWidth="1"/>
    <col min="8430" max="8430" width="11.28515625" style="2" customWidth="1"/>
    <col min="8431" max="8431" width="12.42578125" style="2" customWidth="1"/>
    <col min="8432" max="8432" width="11.28515625" style="2" customWidth="1"/>
    <col min="8433" max="8433" width="12.42578125" style="2" customWidth="1"/>
    <col min="8434" max="8434" width="11.28515625" style="2" customWidth="1"/>
    <col min="8435" max="8435" width="14.140625" style="2" customWidth="1"/>
    <col min="8436" max="8436" width="10.28515625" style="2" customWidth="1"/>
    <col min="8437" max="8437" width="17.140625" style="2" customWidth="1"/>
    <col min="8438" max="8438" width="12" style="2" customWidth="1"/>
    <col min="8439" max="8439" width="14.140625" style="2" customWidth="1"/>
    <col min="8440" max="8440" width="10.28515625" style="2" customWidth="1"/>
    <col min="8441" max="8441" width="17.140625" style="2" customWidth="1"/>
    <col min="8442" max="8442" width="12" style="2" customWidth="1"/>
    <col min="8443" max="8443" width="10.7109375" style="2" customWidth="1"/>
    <col min="8444" max="8446" width="0" style="2" hidden="1" customWidth="1"/>
    <col min="8447" max="8674" width="9.140625" style="2"/>
    <col min="8675" max="8675" width="5.140625" style="2" customWidth="1"/>
    <col min="8676" max="8676" width="32.42578125" style="2" customWidth="1"/>
    <col min="8677" max="8679" width="10.28515625" style="2" customWidth="1"/>
    <col min="8680" max="8681" width="12.42578125" style="2" customWidth="1"/>
    <col min="8682" max="8682" width="11.28515625" style="2" customWidth="1"/>
    <col min="8683" max="8683" width="12.42578125" style="2" customWidth="1"/>
    <col min="8684" max="8684" width="11.28515625" style="2" customWidth="1"/>
    <col min="8685" max="8685" width="12.42578125" style="2" customWidth="1"/>
    <col min="8686" max="8686" width="11.28515625" style="2" customWidth="1"/>
    <col min="8687" max="8687" width="12.42578125" style="2" customWidth="1"/>
    <col min="8688" max="8688" width="11.28515625" style="2" customWidth="1"/>
    <col min="8689" max="8689" width="12.42578125" style="2" customWidth="1"/>
    <col min="8690" max="8690" width="11.28515625" style="2" customWidth="1"/>
    <col min="8691" max="8691" width="14.140625" style="2" customWidth="1"/>
    <col min="8692" max="8692" width="10.28515625" style="2" customWidth="1"/>
    <col min="8693" max="8693" width="17.140625" style="2" customWidth="1"/>
    <col min="8694" max="8694" width="12" style="2" customWidth="1"/>
    <col min="8695" max="8695" width="14.140625" style="2" customWidth="1"/>
    <col min="8696" max="8696" width="10.28515625" style="2" customWidth="1"/>
    <col min="8697" max="8697" width="17.140625" style="2" customWidth="1"/>
    <col min="8698" max="8698" width="12" style="2" customWidth="1"/>
    <col min="8699" max="8699" width="10.7109375" style="2" customWidth="1"/>
    <col min="8700" max="8702" width="0" style="2" hidden="1" customWidth="1"/>
    <col min="8703" max="8930" width="9.140625" style="2"/>
    <col min="8931" max="8931" width="5.140625" style="2" customWidth="1"/>
    <col min="8932" max="8932" width="32.42578125" style="2" customWidth="1"/>
    <col min="8933" max="8935" width="10.28515625" style="2" customWidth="1"/>
    <col min="8936" max="8937" width="12.42578125" style="2" customWidth="1"/>
    <col min="8938" max="8938" width="11.28515625" style="2" customWidth="1"/>
    <col min="8939" max="8939" width="12.42578125" style="2" customWidth="1"/>
    <col min="8940" max="8940" width="11.28515625" style="2" customWidth="1"/>
    <col min="8941" max="8941" width="12.42578125" style="2" customWidth="1"/>
    <col min="8942" max="8942" width="11.28515625" style="2" customWidth="1"/>
    <col min="8943" max="8943" width="12.42578125" style="2" customWidth="1"/>
    <col min="8944" max="8944" width="11.28515625" style="2" customWidth="1"/>
    <col min="8945" max="8945" width="12.42578125" style="2" customWidth="1"/>
    <col min="8946" max="8946" width="11.28515625" style="2" customWidth="1"/>
    <col min="8947" max="8947" width="14.140625" style="2" customWidth="1"/>
    <col min="8948" max="8948" width="10.28515625" style="2" customWidth="1"/>
    <col min="8949" max="8949" width="17.140625" style="2" customWidth="1"/>
    <col min="8950" max="8950" width="12" style="2" customWidth="1"/>
    <col min="8951" max="8951" width="14.140625" style="2" customWidth="1"/>
    <col min="8952" max="8952" width="10.28515625" style="2" customWidth="1"/>
    <col min="8953" max="8953" width="17.140625" style="2" customWidth="1"/>
    <col min="8954" max="8954" width="12" style="2" customWidth="1"/>
    <col min="8955" max="8955" width="10.7109375" style="2" customWidth="1"/>
    <col min="8956" max="8958" width="0" style="2" hidden="1" customWidth="1"/>
    <col min="8959" max="9186" width="9.140625" style="2"/>
    <col min="9187" max="9187" width="5.140625" style="2" customWidth="1"/>
    <col min="9188" max="9188" width="32.42578125" style="2" customWidth="1"/>
    <col min="9189" max="9191" width="10.28515625" style="2" customWidth="1"/>
    <col min="9192" max="9193" width="12.42578125" style="2" customWidth="1"/>
    <col min="9194" max="9194" width="11.28515625" style="2" customWidth="1"/>
    <col min="9195" max="9195" width="12.42578125" style="2" customWidth="1"/>
    <col min="9196" max="9196" width="11.28515625" style="2" customWidth="1"/>
    <col min="9197" max="9197" width="12.42578125" style="2" customWidth="1"/>
    <col min="9198" max="9198" width="11.28515625" style="2" customWidth="1"/>
    <col min="9199" max="9199" width="12.42578125" style="2" customWidth="1"/>
    <col min="9200" max="9200" width="11.28515625" style="2" customWidth="1"/>
    <col min="9201" max="9201" width="12.42578125" style="2" customWidth="1"/>
    <col min="9202" max="9202" width="11.28515625" style="2" customWidth="1"/>
    <col min="9203" max="9203" width="14.140625" style="2" customWidth="1"/>
    <col min="9204" max="9204" width="10.28515625" style="2" customWidth="1"/>
    <col min="9205" max="9205" width="17.140625" style="2" customWidth="1"/>
    <col min="9206" max="9206" width="12" style="2" customWidth="1"/>
    <col min="9207" max="9207" width="14.140625" style="2" customWidth="1"/>
    <col min="9208" max="9208" width="10.28515625" style="2" customWidth="1"/>
    <col min="9209" max="9209" width="17.140625" style="2" customWidth="1"/>
    <col min="9210" max="9210" width="12" style="2" customWidth="1"/>
    <col min="9211" max="9211" width="10.7109375" style="2" customWidth="1"/>
    <col min="9212" max="9214" width="0" style="2" hidden="1" customWidth="1"/>
    <col min="9215" max="9442" width="9.140625" style="2"/>
    <col min="9443" max="9443" width="5.140625" style="2" customWidth="1"/>
    <col min="9444" max="9444" width="32.42578125" style="2" customWidth="1"/>
    <col min="9445" max="9447" width="10.28515625" style="2" customWidth="1"/>
    <col min="9448" max="9449" width="12.42578125" style="2" customWidth="1"/>
    <col min="9450" max="9450" width="11.28515625" style="2" customWidth="1"/>
    <col min="9451" max="9451" width="12.42578125" style="2" customWidth="1"/>
    <col min="9452" max="9452" width="11.28515625" style="2" customWidth="1"/>
    <col min="9453" max="9453" width="12.42578125" style="2" customWidth="1"/>
    <col min="9454" max="9454" width="11.28515625" style="2" customWidth="1"/>
    <col min="9455" max="9455" width="12.42578125" style="2" customWidth="1"/>
    <col min="9456" max="9456" width="11.28515625" style="2" customWidth="1"/>
    <col min="9457" max="9457" width="12.42578125" style="2" customWidth="1"/>
    <col min="9458" max="9458" width="11.28515625" style="2" customWidth="1"/>
    <col min="9459" max="9459" width="14.140625" style="2" customWidth="1"/>
    <col min="9460" max="9460" width="10.28515625" style="2" customWidth="1"/>
    <col min="9461" max="9461" width="17.140625" style="2" customWidth="1"/>
    <col min="9462" max="9462" width="12" style="2" customWidth="1"/>
    <col min="9463" max="9463" width="14.140625" style="2" customWidth="1"/>
    <col min="9464" max="9464" width="10.28515625" style="2" customWidth="1"/>
    <col min="9465" max="9465" width="17.140625" style="2" customWidth="1"/>
    <col min="9466" max="9466" width="12" style="2" customWidth="1"/>
    <col min="9467" max="9467" width="10.7109375" style="2" customWidth="1"/>
    <col min="9468" max="9470" width="0" style="2" hidden="1" customWidth="1"/>
    <col min="9471" max="9698" width="9.140625" style="2"/>
    <col min="9699" max="9699" width="5.140625" style="2" customWidth="1"/>
    <col min="9700" max="9700" width="32.42578125" style="2" customWidth="1"/>
    <col min="9701" max="9703" width="10.28515625" style="2" customWidth="1"/>
    <col min="9704" max="9705" width="12.42578125" style="2" customWidth="1"/>
    <col min="9706" max="9706" width="11.28515625" style="2" customWidth="1"/>
    <col min="9707" max="9707" width="12.42578125" style="2" customWidth="1"/>
    <col min="9708" max="9708" width="11.28515625" style="2" customWidth="1"/>
    <col min="9709" max="9709" width="12.42578125" style="2" customWidth="1"/>
    <col min="9710" max="9710" width="11.28515625" style="2" customWidth="1"/>
    <col min="9711" max="9711" width="12.42578125" style="2" customWidth="1"/>
    <col min="9712" max="9712" width="11.28515625" style="2" customWidth="1"/>
    <col min="9713" max="9713" width="12.42578125" style="2" customWidth="1"/>
    <col min="9714" max="9714" width="11.28515625" style="2" customWidth="1"/>
    <col min="9715" max="9715" width="14.140625" style="2" customWidth="1"/>
    <col min="9716" max="9716" width="10.28515625" style="2" customWidth="1"/>
    <col min="9717" max="9717" width="17.140625" style="2" customWidth="1"/>
    <col min="9718" max="9718" width="12" style="2" customWidth="1"/>
    <col min="9719" max="9719" width="14.140625" style="2" customWidth="1"/>
    <col min="9720" max="9720" width="10.28515625" style="2" customWidth="1"/>
    <col min="9721" max="9721" width="17.140625" style="2" customWidth="1"/>
    <col min="9722" max="9722" width="12" style="2" customWidth="1"/>
    <col min="9723" max="9723" width="10.7109375" style="2" customWidth="1"/>
    <col min="9724" max="9726" width="0" style="2" hidden="1" customWidth="1"/>
    <col min="9727" max="9954" width="9.140625" style="2"/>
    <col min="9955" max="9955" width="5.140625" style="2" customWidth="1"/>
    <col min="9956" max="9956" width="32.42578125" style="2" customWidth="1"/>
    <col min="9957" max="9959" width="10.28515625" style="2" customWidth="1"/>
    <col min="9960" max="9961" width="12.42578125" style="2" customWidth="1"/>
    <col min="9962" max="9962" width="11.28515625" style="2" customWidth="1"/>
    <col min="9963" max="9963" width="12.42578125" style="2" customWidth="1"/>
    <col min="9964" max="9964" width="11.28515625" style="2" customWidth="1"/>
    <col min="9965" max="9965" width="12.42578125" style="2" customWidth="1"/>
    <col min="9966" max="9966" width="11.28515625" style="2" customWidth="1"/>
    <col min="9967" max="9967" width="12.42578125" style="2" customWidth="1"/>
    <col min="9968" max="9968" width="11.28515625" style="2" customWidth="1"/>
    <col min="9969" max="9969" width="12.42578125" style="2" customWidth="1"/>
    <col min="9970" max="9970" width="11.28515625" style="2" customWidth="1"/>
    <col min="9971" max="9971" width="14.140625" style="2" customWidth="1"/>
    <col min="9972" max="9972" width="10.28515625" style="2" customWidth="1"/>
    <col min="9973" max="9973" width="17.140625" style="2" customWidth="1"/>
    <col min="9974" max="9974" width="12" style="2" customWidth="1"/>
    <col min="9975" max="9975" width="14.140625" style="2" customWidth="1"/>
    <col min="9976" max="9976" width="10.28515625" style="2" customWidth="1"/>
    <col min="9977" max="9977" width="17.140625" style="2" customWidth="1"/>
    <col min="9978" max="9978" width="12" style="2" customWidth="1"/>
    <col min="9979" max="9979" width="10.7109375" style="2" customWidth="1"/>
    <col min="9980" max="9982" width="0" style="2" hidden="1" customWidth="1"/>
    <col min="9983" max="10210" width="9.140625" style="2"/>
    <col min="10211" max="10211" width="5.140625" style="2" customWidth="1"/>
    <col min="10212" max="10212" width="32.42578125" style="2" customWidth="1"/>
    <col min="10213" max="10215" width="10.28515625" style="2" customWidth="1"/>
    <col min="10216" max="10217" width="12.42578125" style="2" customWidth="1"/>
    <col min="10218" max="10218" width="11.28515625" style="2" customWidth="1"/>
    <col min="10219" max="10219" width="12.42578125" style="2" customWidth="1"/>
    <col min="10220" max="10220" width="11.28515625" style="2" customWidth="1"/>
    <col min="10221" max="10221" width="12.42578125" style="2" customWidth="1"/>
    <col min="10222" max="10222" width="11.28515625" style="2" customWidth="1"/>
    <col min="10223" max="10223" width="12.42578125" style="2" customWidth="1"/>
    <col min="10224" max="10224" width="11.28515625" style="2" customWidth="1"/>
    <col min="10225" max="10225" width="12.42578125" style="2" customWidth="1"/>
    <col min="10226" max="10226" width="11.28515625" style="2" customWidth="1"/>
    <col min="10227" max="10227" width="14.140625" style="2" customWidth="1"/>
    <col min="10228" max="10228" width="10.28515625" style="2" customWidth="1"/>
    <col min="10229" max="10229" width="17.140625" style="2" customWidth="1"/>
    <col min="10230" max="10230" width="12" style="2" customWidth="1"/>
    <col min="10231" max="10231" width="14.140625" style="2" customWidth="1"/>
    <col min="10232" max="10232" width="10.28515625" style="2" customWidth="1"/>
    <col min="10233" max="10233" width="17.140625" style="2" customWidth="1"/>
    <col min="10234" max="10234" width="12" style="2" customWidth="1"/>
    <col min="10235" max="10235" width="10.7109375" style="2" customWidth="1"/>
    <col min="10236" max="10238" width="0" style="2" hidden="1" customWidth="1"/>
    <col min="10239" max="10466" width="9.140625" style="2"/>
    <col min="10467" max="10467" width="5.140625" style="2" customWidth="1"/>
    <col min="10468" max="10468" width="32.42578125" style="2" customWidth="1"/>
    <col min="10469" max="10471" width="10.28515625" style="2" customWidth="1"/>
    <col min="10472" max="10473" width="12.42578125" style="2" customWidth="1"/>
    <col min="10474" max="10474" width="11.28515625" style="2" customWidth="1"/>
    <col min="10475" max="10475" width="12.42578125" style="2" customWidth="1"/>
    <col min="10476" max="10476" width="11.28515625" style="2" customWidth="1"/>
    <col min="10477" max="10477" width="12.42578125" style="2" customWidth="1"/>
    <col min="10478" max="10478" width="11.28515625" style="2" customWidth="1"/>
    <col min="10479" max="10479" width="12.42578125" style="2" customWidth="1"/>
    <col min="10480" max="10480" width="11.28515625" style="2" customWidth="1"/>
    <col min="10481" max="10481" width="12.42578125" style="2" customWidth="1"/>
    <col min="10482" max="10482" width="11.28515625" style="2" customWidth="1"/>
    <col min="10483" max="10483" width="14.140625" style="2" customWidth="1"/>
    <col min="10484" max="10484" width="10.28515625" style="2" customWidth="1"/>
    <col min="10485" max="10485" width="17.140625" style="2" customWidth="1"/>
    <col min="10486" max="10486" width="12" style="2" customWidth="1"/>
    <col min="10487" max="10487" width="14.140625" style="2" customWidth="1"/>
    <col min="10488" max="10488" width="10.28515625" style="2" customWidth="1"/>
    <col min="10489" max="10489" width="17.140625" style="2" customWidth="1"/>
    <col min="10490" max="10490" width="12" style="2" customWidth="1"/>
    <col min="10491" max="10491" width="10.7109375" style="2" customWidth="1"/>
    <col min="10492" max="10494" width="0" style="2" hidden="1" customWidth="1"/>
    <col min="10495" max="10722" width="9.140625" style="2"/>
    <col min="10723" max="10723" width="5.140625" style="2" customWidth="1"/>
    <col min="10724" max="10724" width="32.42578125" style="2" customWidth="1"/>
    <col min="10725" max="10727" width="10.28515625" style="2" customWidth="1"/>
    <col min="10728" max="10729" width="12.42578125" style="2" customWidth="1"/>
    <col min="10730" max="10730" width="11.28515625" style="2" customWidth="1"/>
    <col min="10731" max="10731" width="12.42578125" style="2" customWidth="1"/>
    <col min="10732" max="10732" width="11.28515625" style="2" customWidth="1"/>
    <col min="10733" max="10733" width="12.42578125" style="2" customWidth="1"/>
    <col min="10734" max="10734" width="11.28515625" style="2" customWidth="1"/>
    <col min="10735" max="10735" width="12.42578125" style="2" customWidth="1"/>
    <col min="10736" max="10736" width="11.28515625" style="2" customWidth="1"/>
    <col min="10737" max="10737" width="12.42578125" style="2" customWidth="1"/>
    <col min="10738" max="10738" width="11.28515625" style="2" customWidth="1"/>
    <col min="10739" max="10739" width="14.140625" style="2" customWidth="1"/>
    <col min="10740" max="10740" width="10.28515625" style="2" customWidth="1"/>
    <col min="10741" max="10741" width="17.140625" style="2" customWidth="1"/>
    <col min="10742" max="10742" width="12" style="2" customWidth="1"/>
    <col min="10743" max="10743" width="14.140625" style="2" customWidth="1"/>
    <col min="10744" max="10744" width="10.28515625" style="2" customWidth="1"/>
    <col min="10745" max="10745" width="17.140625" style="2" customWidth="1"/>
    <col min="10746" max="10746" width="12" style="2" customWidth="1"/>
    <col min="10747" max="10747" width="10.7109375" style="2" customWidth="1"/>
    <col min="10748" max="10750" width="0" style="2" hidden="1" customWidth="1"/>
    <col min="10751" max="10978" width="9.140625" style="2"/>
    <col min="10979" max="10979" width="5.140625" style="2" customWidth="1"/>
    <col min="10980" max="10980" width="32.42578125" style="2" customWidth="1"/>
    <col min="10981" max="10983" width="10.28515625" style="2" customWidth="1"/>
    <col min="10984" max="10985" width="12.42578125" style="2" customWidth="1"/>
    <col min="10986" max="10986" width="11.28515625" style="2" customWidth="1"/>
    <col min="10987" max="10987" width="12.42578125" style="2" customWidth="1"/>
    <col min="10988" max="10988" width="11.28515625" style="2" customWidth="1"/>
    <col min="10989" max="10989" width="12.42578125" style="2" customWidth="1"/>
    <col min="10990" max="10990" width="11.28515625" style="2" customWidth="1"/>
    <col min="10991" max="10991" width="12.42578125" style="2" customWidth="1"/>
    <col min="10992" max="10992" width="11.28515625" style="2" customWidth="1"/>
    <col min="10993" max="10993" width="12.42578125" style="2" customWidth="1"/>
    <col min="10994" max="10994" width="11.28515625" style="2" customWidth="1"/>
    <col min="10995" max="10995" width="14.140625" style="2" customWidth="1"/>
    <col min="10996" max="10996" width="10.28515625" style="2" customWidth="1"/>
    <col min="10997" max="10997" width="17.140625" style="2" customWidth="1"/>
    <col min="10998" max="10998" width="12" style="2" customWidth="1"/>
    <col min="10999" max="10999" width="14.140625" style="2" customWidth="1"/>
    <col min="11000" max="11000" width="10.28515625" style="2" customWidth="1"/>
    <col min="11001" max="11001" width="17.140625" style="2" customWidth="1"/>
    <col min="11002" max="11002" width="12" style="2" customWidth="1"/>
    <col min="11003" max="11003" width="10.7109375" style="2" customWidth="1"/>
    <col min="11004" max="11006" width="0" style="2" hidden="1" customWidth="1"/>
    <col min="11007" max="11234" width="9.140625" style="2"/>
    <col min="11235" max="11235" width="5.140625" style="2" customWidth="1"/>
    <col min="11236" max="11236" width="32.42578125" style="2" customWidth="1"/>
    <col min="11237" max="11239" width="10.28515625" style="2" customWidth="1"/>
    <col min="11240" max="11241" width="12.42578125" style="2" customWidth="1"/>
    <col min="11242" max="11242" width="11.28515625" style="2" customWidth="1"/>
    <col min="11243" max="11243" width="12.42578125" style="2" customWidth="1"/>
    <col min="11244" max="11244" width="11.28515625" style="2" customWidth="1"/>
    <col min="11245" max="11245" width="12.42578125" style="2" customWidth="1"/>
    <col min="11246" max="11246" width="11.28515625" style="2" customWidth="1"/>
    <col min="11247" max="11247" width="12.42578125" style="2" customWidth="1"/>
    <col min="11248" max="11248" width="11.28515625" style="2" customWidth="1"/>
    <col min="11249" max="11249" width="12.42578125" style="2" customWidth="1"/>
    <col min="11250" max="11250" width="11.28515625" style="2" customWidth="1"/>
    <col min="11251" max="11251" width="14.140625" style="2" customWidth="1"/>
    <col min="11252" max="11252" width="10.28515625" style="2" customWidth="1"/>
    <col min="11253" max="11253" width="17.140625" style="2" customWidth="1"/>
    <col min="11254" max="11254" width="12" style="2" customWidth="1"/>
    <col min="11255" max="11255" width="14.140625" style="2" customWidth="1"/>
    <col min="11256" max="11256" width="10.28515625" style="2" customWidth="1"/>
    <col min="11257" max="11257" width="17.140625" style="2" customWidth="1"/>
    <col min="11258" max="11258" width="12" style="2" customWidth="1"/>
    <col min="11259" max="11259" width="10.7109375" style="2" customWidth="1"/>
    <col min="11260" max="11262" width="0" style="2" hidden="1" customWidth="1"/>
    <col min="11263" max="11490" width="9.140625" style="2"/>
    <col min="11491" max="11491" width="5.140625" style="2" customWidth="1"/>
    <col min="11492" max="11492" width="32.42578125" style="2" customWidth="1"/>
    <col min="11493" max="11495" width="10.28515625" style="2" customWidth="1"/>
    <col min="11496" max="11497" width="12.42578125" style="2" customWidth="1"/>
    <col min="11498" max="11498" width="11.28515625" style="2" customWidth="1"/>
    <col min="11499" max="11499" width="12.42578125" style="2" customWidth="1"/>
    <col min="11500" max="11500" width="11.28515625" style="2" customWidth="1"/>
    <col min="11501" max="11501" width="12.42578125" style="2" customWidth="1"/>
    <col min="11502" max="11502" width="11.28515625" style="2" customWidth="1"/>
    <col min="11503" max="11503" width="12.42578125" style="2" customWidth="1"/>
    <col min="11504" max="11504" width="11.28515625" style="2" customWidth="1"/>
    <col min="11505" max="11505" width="12.42578125" style="2" customWidth="1"/>
    <col min="11506" max="11506" width="11.28515625" style="2" customWidth="1"/>
    <col min="11507" max="11507" width="14.140625" style="2" customWidth="1"/>
    <col min="11508" max="11508" width="10.28515625" style="2" customWidth="1"/>
    <col min="11509" max="11509" width="17.140625" style="2" customWidth="1"/>
    <col min="11510" max="11510" width="12" style="2" customWidth="1"/>
    <col min="11511" max="11511" width="14.140625" style="2" customWidth="1"/>
    <col min="11512" max="11512" width="10.28515625" style="2" customWidth="1"/>
    <col min="11513" max="11513" width="17.140625" style="2" customWidth="1"/>
    <col min="11514" max="11514" width="12" style="2" customWidth="1"/>
    <col min="11515" max="11515" width="10.7109375" style="2" customWidth="1"/>
    <col min="11516" max="11518" width="0" style="2" hidden="1" customWidth="1"/>
    <col min="11519" max="11746" width="9.140625" style="2"/>
    <col min="11747" max="11747" width="5.140625" style="2" customWidth="1"/>
    <col min="11748" max="11748" width="32.42578125" style="2" customWidth="1"/>
    <col min="11749" max="11751" width="10.28515625" style="2" customWidth="1"/>
    <col min="11752" max="11753" width="12.42578125" style="2" customWidth="1"/>
    <col min="11754" max="11754" width="11.28515625" style="2" customWidth="1"/>
    <col min="11755" max="11755" width="12.42578125" style="2" customWidth="1"/>
    <col min="11756" max="11756" width="11.28515625" style="2" customWidth="1"/>
    <col min="11757" max="11757" width="12.42578125" style="2" customWidth="1"/>
    <col min="11758" max="11758" width="11.28515625" style="2" customWidth="1"/>
    <col min="11759" max="11759" width="12.42578125" style="2" customWidth="1"/>
    <col min="11760" max="11760" width="11.28515625" style="2" customWidth="1"/>
    <col min="11761" max="11761" width="12.42578125" style="2" customWidth="1"/>
    <col min="11762" max="11762" width="11.28515625" style="2" customWidth="1"/>
    <col min="11763" max="11763" width="14.140625" style="2" customWidth="1"/>
    <col min="11764" max="11764" width="10.28515625" style="2" customWidth="1"/>
    <col min="11765" max="11765" width="17.140625" style="2" customWidth="1"/>
    <col min="11766" max="11766" width="12" style="2" customWidth="1"/>
    <col min="11767" max="11767" width="14.140625" style="2" customWidth="1"/>
    <col min="11768" max="11768" width="10.28515625" style="2" customWidth="1"/>
    <col min="11769" max="11769" width="17.140625" style="2" customWidth="1"/>
    <col min="11770" max="11770" width="12" style="2" customWidth="1"/>
    <col min="11771" max="11771" width="10.7109375" style="2" customWidth="1"/>
    <col min="11772" max="11774" width="0" style="2" hidden="1" customWidth="1"/>
    <col min="11775" max="12002" width="9.140625" style="2"/>
    <col min="12003" max="12003" width="5.140625" style="2" customWidth="1"/>
    <col min="12004" max="12004" width="32.42578125" style="2" customWidth="1"/>
    <col min="12005" max="12007" width="10.28515625" style="2" customWidth="1"/>
    <col min="12008" max="12009" width="12.42578125" style="2" customWidth="1"/>
    <col min="12010" max="12010" width="11.28515625" style="2" customWidth="1"/>
    <col min="12011" max="12011" width="12.42578125" style="2" customWidth="1"/>
    <col min="12012" max="12012" width="11.28515625" style="2" customWidth="1"/>
    <col min="12013" max="12013" width="12.42578125" style="2" customWidth="1"/>
    <col min="12014" max="12014" width="11.28515625" style="2" customWidth="1"/>
    <col min="12015" max="12015" width="12.42578125" style="2" customWidth="1"/>
    <col min="12016" max="12016" width="11.28515625" style="2" customWidth="1"/>
    <col min="12017" max="12017" width="12.42578125" style="2" customWidth="1"/>
    <col min="12018" max="12018" width="11.28515625" style="2" customWidth="1"/>
    <col min="12019" max="12019" width="14.140625" style="2" customWidth="1"/>
    <col min="12020" max="12020" width="10.28515625" style="2" customWidth="1"/>
    <col min="12021" max="12021" width="17.140625" style="2" customWidth="1"/>
    <col min="12022" max="12022" width="12" style="2" customWidth="1"/>
    <col min="12023" max="12023" width="14.140625" style="2" customWidth="1"/>
    <col min="12024" max="12024" width="10.28515625" style="2" customWidth="1"/>
    <col min="12025" max="12025" width="17.140625" style="2" customWidth="1"/>
    <col min="12026" max="12026" width="12" style="2" customWidth="1"/>
    <col min="12027" max="12027" width="10.7109375" style="2" customWidth="1"/>
    <col min="12028" max="12030" width="0" style="2" hidden="1" customWidth="1"/>
    <col min="12031" max="12258" width="9.140625" style="2"/>
    <col min="12259" max="12259" width="5.140625" style="2" customWidth="1"/>
    <col min="12260" max="12260" width="32.42578125" style="2" customWidth="1"/>
    <col min="12261" max="12263" width="10.28515625" style="2" customWidth="1"/>
    <col min="12264" max="12265" width="12.42578125" style="2" customWidth="1"/>
    <col min="12266" max="12266" width="11.28515625" style="2" customWidth="1"/>
    <col min="12267" max="12267" width="12.42578125" style="2" customWidth="1"/>
    <col min="12268" max="12268" width="11.28515625" style="2" customWidth="1"/>
    <col min="12269" max="12269" width="12.42578125" style="2" customWidth="1"/>
    <col min="12270" max="12270" width="11.28515625" style="2" customWidth="1"/>
    <col min="12271" max="12271" width="12.42578125" style="2" customWidth="1"/>
    <col min="12272" max="12272" width="11.28515625" style="2" customWidth="1"/>
    <col min="12273" max="12273" width="12.42578125" style="2" customWidth="1"/>
    <col min="12274" max="12274" width="11.28515625" style="2" customWidth="1"/>
    <col min="12275" max="12275" width="14.140625" style="2" customWidth="1"/>
    <col min="12276" max="12276" width="10.28515625" style="2" customWidth="1"/>
    <col min="12277" max="12277" width="17.140625" style="2" customWidth="1"/>
    <col min="12278" max="12278" width="12" style="2" customWidth="1"/>
    <col min="12279" max="12279" width="14.140625" style="2" customWidth="1"/>
    <col min="12280" max="12280" width="10.28515625" style="2" customWidth="1"/>
    <col min="12281" max="12281" width="17.140625" style="2" customWidth="1"/>
    <col min="12282" max="12282" width="12" style="2" customWidth="1"/>
    <col min="12283" max="12283" width="10.7109375" style="2" customWidth="1"/>
    <col min="12284" max="12286" width="0" style="2" hidden="1" customWidth="1"/>
    <col min="12287" max="12514" width="9.140625" style="2"/>
    <col min="12515" max="12515" width="5.140625" style="2" customWidth="1"/>
    <col min="12516" max="12516" width="32.42578125" style="2" customWidth="1"/>
    <col min="12517" max="12519" width="10.28515625" style="2" customWidth="1"/>
    <col min="12520" max="12521" width="12.42578125" style="2" customWidth="1"/>
    <col min="12522" max="12522" width="11.28515625" style="2" customWidth="1"/>
    <col min="12523" max="12523" width="12.42578125" style="2" customWidth="1"/>
    <col min="12524" max="12524" width="11.28515625" style="2" customWidth="1"/>
    <col min="12525" max="12525" width="12.42578125" style="2" customWidth="1"/>
    <col min="12526" max="12526" width="11.28515625" style="2" customWidth="1"/>
    <col min="12527" max="12527" width="12.42578125" style="2" customWidth="1"/>
    <col min="12528" max="12528" width="11.28515625" style="2" customWidth="1"/>
    <col min="12529" max="12529" width="12.42578125" style="2" customWidth="1"/>
    <col min="12530" max="12530" width="11.28515625" style="2" customWidth="1"/>
    <col min="12531" max="12531" width="14.140625" style="2" customWidth="1"/>
    <col min="12532" max="12532" width="10.28515625" style="2" customWidth="1"/>
    <col min="12533" max="12533" width="17.140625" style="2" customWidth="1"/>
    <col min="12534" max="12534" width="12" style="2" customWidth="1"/>
    <col min="12535" max="12535" width="14.140625" style="2" customWidth="1"/>
    <col min="12536" max="12536" width="10.28515625" style="2" customWidth="1"/>
    <col min="12537" max="12537" width="17.140625" style="2" customWidth="1"/>
    <col min="12538" max="12538" width="12" style="2" customWidth="1"/>
    <col min="12539" max="12539" width="10.7109375" style="2" customWidth="1"/>
    <col min="12540" max="12542" width="0" style="2" hidden="1" customWidth="1"/>
    <col min="12543" max="12770" width="9.140625" style="2"/>
    <col min="12771" max="12771" width="5.140625" style="2" customWidth="1"/>
    <col min="12772" max="12772" width="32.42578125" style="2" customWidth="1"/>
    <col min="12773" max="12775" width="10.28515625" style="2" customWidth="1"/>
    <col min="12776" max="12777" width="12.42578125" style="2" customWidth="1"/>
    <col min="12778" max="12778" width="11.28515625" style="2" customWidth="1"/>
    <col min="12779" max="12779" width="12.42578125" style="2" customWidth="1"/>
    <col min="12780" max="12780" width="11.28515625" style="2" customWidth="1"/>
    <col min="12781" max="12781" width="12.42578125" style="2" customWidth="1"/>
    <col min="12782" max="12782" width="11.28515625" style="2" customWidth="1"/>
    <col min="12783" max="12783" width="12.42578125" style="2" customWidth="1"/>
    <col min="12784" max="12784" width="11.28515625" style="2" customWidth="1"/>
    <col min="12785" max="12785" width="12.42578125" style="2" customWidth="1"/>
    <col min="12786" max="12786" width="11.28515625" style="2" customWidth="1"/>
    <col min="12787" max="12787" width="14.140625" style="2" customWidth="1"/>
    <col min="12788" max="12788" width="10.28515625" style="2" customWidth="1"/>
    <col min="12789" max="12789" width="17.140625" style="2" customWidth="1"/>
    <col min="12790" max="12790" width="12" style="2" customWidth="1"/>
    <col min="12791" max="12791" width="14.140625" style="2" customWidth="1"/>
    <col min="12792" max="12792" width="10.28515625" style="2" customWidth="1"/>
    <col min="12793" max="12793" width="17.140625" style="2" customWidth="1"/>
    <col min="12794" max="12794" width="12" style="2" customWidth="1"/>
    <col min="12795" max="12795" width="10.7109375" style="2" customWidth="1"/>
    <col min="12796" max="12798" width="0" style="2" hidden="1" customWidth="1"/>
    <col min="12799" max="13026" width="9.140625" style="2"/>
    <col min="13027" max="13027" width="5.140625" style="2" customWidth="1"/>
    <col min="13028" max="13028" width="32.42578125" style="2" customWidth="1"/>
    <col min="13029" max="13031" width="10.28515625" style="2" customWidth="1"/>
    <col min="13032" max="13033" width="12.42578125" style="2" customWidth="1"/>
    <col min="13034" max="13034" width="11.28515625" style="2" customWidth="1"/>
    <col min="13035" max="13035" width="12.42578125" style="2" customWidth="1"/>
    <col min="13036" max="13036" width="11.28515625" style="2" customWidth="1"/>
    <col min="13037" max="13037" width="12.42578125" style="2" customWidth="1"/>
    <col min="13038" max="13038" width="11.28515625" style="2" customWidth="1"/>
    <col min="13039" max="13039" width="12.42578125" style="2" customWidth="1"/>
    <col min="13040" max="13040" width="11.28515625" style="2" customWidth="1"/>
    <col min="13041" max="13041" width="12.42578125" style="2" customWidth="1"/>
    <col min="13042" max="13042" width="11.28515625" style="2" customWidth="1"/>
    <col min="13043" max="13043" width="14.140625" style="2" customWidth="1"/>
    <col min="13044" max="13044" width="10.28515625" style="2" customWidth="1"/>
    <col min="13045" max="13045" width="17.140625" style="2" customWidth="1"/>
    <col min="13046" max="13046" width="12" style="2" customWidth="1"/>
    <col min="13047" max="13047" width="14.140625" style="2" customWidth="1"/>
    <col min="13048" max="13048" width="10.28515625" style="2" customWidth="1"/>
    <col min="13049" max="13049" width="17.140625" style="2" customWidth="1"/>
    <col min="13050" max="13050" width="12" style="2" customWidth="1"/>
    <col min="13051" max="13051" width="10.7109375" style="2" customWidth="1"/>
    <col min="13052" max="13054" width="0" style="2" hidden="1" customWidth="1"/>
    <col min="13055" max="13282" width="9.140625" style="2"/>
    <col min="13283" max="13283" width="5.140625" style="2" customWidth="1"/>
    <col min="13284" max="13284" width="32.42578125" style="2" customWidth="1"/>
    <col min="13285" max="13287" width="10.28515625" style="2" customWidth="1"/>
    <col min="13288" max="13289" width="12.42578125" style="2" customWidth="1"/>
    <col min="13290" max="13290" width="11.28515625" style="2" customWidth="1"/>
    <col min="13291" max="13291" width="12.42578125" style="2" customWidth="1"/>
    <col min="13292" max="13292" width="11.28515625" style="2" customWidth="1"/>
    <col min="13293" max="13293" width="12.42578125" style="2" customWidth="1"/>
    <col min="13294" max="13294" width="11.28515625" style="2" customWidth="1"/>
    <col min="13295" max="13295" width="12.42578125" style="2" customWidth="1"/>
    <col min="13296" max="13296" width="11.28515625" style="2" customWidth="1"/>
    <col min="13297" max="13297" width="12.42578125" style="2" customWidth="1"/>
    <col min="13298" max="13298" width="11.28515625" style="2" customWidth="1"/>
    <col min="13299" max="13299" width="14.140625" style="2" customWidth="1"/>
    <col min="13300" max="13300" width="10.28515625" style="2" customWidth="1"/>
    <col min="13301" max="13301" width="17.140625" style="2" customWidth="1"/>
    <col min="13302" max="13302" width="12" style="2" customWidth="1"/>
    <col min="13303" max="13303" width="14.140625" style="2" customWidth="1"/>
    <col min="13304" max="13304" width="10.28515625" style="2" customWidth="1"/>
    <col min="13305" max="13305" width="17.140625" style="2" customWidth="1"/>
    <col min="13306" max="13306" width="12" style="2" customWidth="1"/>
    <col min="13307" max="13307" width="10.7109375" style="2" customWidth="1"/>
    <col min="13308" max="13310" width="0" style="2" hidden="1" customWidth="1"/>
    <col min="13311" max="13538" width="9.140625" style="2"/>
    <col min="13539" max="13539" width="5.140625" style="2" customWidth="1"/>
    <col min="13540" max="13540" width="32.42578125" style="2" customWidth="1"/>
    <col min="13541" max="13543" width="10.28515625" style="2" customWidth="1"/>
    <col min="13544" max="13545" width="12.42578125" style="2" customWidth="1"/>
    <col min="13546" max="13546" width="11.28515625" style="2" customWidth="1"/>
    <col min="13547" max="13547" width="12.42578125" style="2" customWidth="1"/>
    <col min="13548" max="13548" width="11.28515625" style="2" customWidth="1"/>
    <col min="13549" max="13549" width="12.42578125" style="2" customWidth="1"/>
    <col min="13550" max="13550" width="11.28515625" style="2" customWidth="1"/>
    <col min="13551" max="13551" width="12.42578125" style="2" customWidth="1"/>
    <col min="13552" max="13552" width="11.28515625" style="2" customWidth="1"/>
    <col min="13553" max="13553" width="12.42578125" style="2" customWidth="1"/>
    <col min="13554" max="13554" width="11.28515625" style="2" customWidth="1"/>
    <col min="13555" max="13555" width="14.140625" style="2" customWidth="1"/>
    <col min="13556" max="13556" width="10.28515625" style="2" customWidth="1"/>
    <col min="13557" max="13557" width="17.140625" style="2" customWidth="1"/>
    <col min="13558" max="13558" width="12" style="2" customWidth="1"/>
    <col min="13559" max="13559" width="14.140625" style="2" customWidth="1"/>
    <col min="13560" max="13560" width="10.28515625" style="2" customWidth="1"/>
    <col min="13561" max="13561" width="17.140625" style="2" customWidth="1"/>
    <col min="13562" max="13562" width="12" style="2" customWidth="1"/>
    <col min="13563" max="13563" width="10.7109375" style="2" customWidth="1"/>
    <col min="13564" max="13566" width="0" style="2" hidden="1" customWidth="1"/>
    <col min="13567" max="13794" width="9.140625" style="2"/>
    <col min="13795" max="13795" width="5.140625" style="2" customWidth="1"/>
    <col min="13796" max="13796" width="32.42578125" style="2" customWidth="1"/>
    <col min="13797" max="13799" width="10.28515625" style="2" customWidth="1"/>
    <col min="13800" max="13801" width="12.42578125" style="2" customWidth="1"/>
    <col min="13802" max="13802" width="11.28515625" style="2" customWidth="1"/>
    <col min="13803" max="13803" width="12.42578125" style="2" customWidth="1"/>
    <col min="13804" max="13804" width="11.28515625" style="2" customWidth="1"/>
    <col min="13805" max="13805" width="12.42578125" style="2" customWidth="1"/>
    <col min="13806" max="13806" width="11.28515625" style="2" customWidth="1"/>
    <col min="13807" max="13807" width="12.42578125" style="2" customWidth="1"/>
    <col min="13808" max="13808" width="11.28515625" style="2" customWidth="1"/>
    <col min="13809" max="13809" width="12.42578125" style="2" customWidth="1"/>
    <col min="13810" max="13810" width="11.28515625" style="2" customWidth="1"/>
    <col min="13811" max="13811" width="14.140625" style="2" customWidth="1"/>
    <col min="13812" max="13812" width="10.28515625" style="2" customWidth="1"/>
    <col min="13813" max="13813" width="17.140625" style="2" customWidth="1"/>
    <col min="13814" max="13814" width="12" style="2" customWidth="1"/>
    <col min="13815" max="13815" width="14.140625" style="2" customWidth="1"/>
    <col min="13816" max="13816" width="10.28515625" style="2" customWidth="1"/>
    <col min="13817" max="13817" width="17.140625" style="2" customWidth="1"/>
    <col min="13818" max="13818" width="12" style="2" customWidth="1"/>
    <col min="13819" max="13819" width="10.7109375" style="2" customWidth="1"/>
    <col min="13820" max="13822" width="0" style="2" hidden="1" customWidth="1"/>
    <col min="13823" max="14050" width="9.140625" style="2"/>
    <col min="14051" max="14051" width="5.140625" style="2" customWidth="1"/>
    <col min="14052" max="14052" width="32.42578125" style="2" customWidth="1"/>
    <col min="14053" max="14055" width="10.28515625" style="2" customWidth="1"/>
    <col min="14056" max="14057" width="12.42578125" style="2" customWidth="1"/>
    <col min="14058" max="14058" width="11.28515625" style="2" customWidth="1"/>
    <col min="14059" max="14059" width="12.42578125" style="2" customWidth="1"/>
    <col min="14060" max="14060" width="11.28515625" style="2" customWidth="1"/>
    <col min="14061" max="14061" width="12.42578125" style="2" customWidth="1"/>
    <col min="14062" max="14062" width="11.28515625" style="2" customWidth="1"/>
    <col min="14063" max="14063" width="12.42578125" style="2" customWidth="1"/>
    <col min="14064" max="14064" width="11.28515625" style="2" customWidth="1"/>
    <col min="14065" max="14065" width="12.42578125" style="2" customWidth="1"/>
    <col min="14066" max="14066" width="11.28515625" style="2" customWidth="1"/>
    <col min="14067" max="14067" width="14.140625" style="2" customWidth="1"/>
    <col min="14068" max="14068" width="10.28515625" style="2" customWidth="1"/>
    <col min="14069" max="14069" width="17.140625" style="2" customWidth="1"/>
    <col min="14070" max="14070" width="12" style="2" customWidth="1"/>
    <col min="14071" max="14071" width="14.140625" style="2" customWidth="1"/>
    <col min="14072" max="14072" width="10.28515625" style="2" customWidth="1"/>
    <col min="14073" max="14073" width="17.140625" style="2" customWidth="1"/>
    <col min="14074" max="14074" width="12" style="2" customWidth="1"/>
    <col min="14075" max="14075" width="10.7109375" style="2" customWidth="1"/>
    <col min="14076" max="14078" width="0" style="2" hidden="1" customWidth="1"/>
    <col min="14079" max="14306" width="9.140625" style="2"/>
    <col min="14307" max="14307" width="5.140625" style="2" customWidth="1"/>
    <col min="14308" max="14308" width="32.42578125" style="2" customWidth="1"/>
    <col min="14309" max="14311" width="10.28515625" style="2" customWidth="1"/>
    <col min="14312" max="14313" width="12.42578125" style="2" customWidth="1"/>
    <col min="14314" max="14314" width="11.28515625" style="2" customWidth="1"/>
    <col min="14315" max="14315" width="12.42578125" style="2" customWidth="1"/>
    <col min="14316" max="14316" width="11.28515625" style="2" customWidth="1"/>
    <col min="14317" max="14317" width="12.42578125" style="2" customWidth="1"/>
    <col min="14318" max="14318" width="11.28515625" style="2" customWidth="1"/>
    <col min="14319" max="14319" width="12.42578125" style="2" customWidth="1"/>
    <col min="14320" max="14320" width="11.28515625" style="2" customWidth="1"/>
    <col min="14321" max="14321" width="12.42578125" style="2" customWidth="1"/>
    <col min="14322" max="14322" width="11.28515625" style="2" customWidth="1"/>
    <col min="14323" max="14323" width="14.140625" style="2" customWidth="1"/>
    <col min="14324" max="14324" width="10.28515625" style="2" customWidth="1"/>
    <col min="14325" max="14325" width="17.140625" style="2" customWidth="1"/>
    <col min="14326" max="14326" width="12" style="2" customWidth="1"/>
    <col min="14327" max="14327" width="14.140625" style="2" customWidth="1"/>
    <col min="14328" max="14328" width="10.28515625" style="2" customWidth="1"/>
    <col min="14329" max="14329" width="17.140625" style="2" customWidth="1"/>
    <col min="14330" max="14330" width="12" style="2" customWidth="1"/>
    <col min="14331" max="14331" width="10.7109375" style="2" customWidth="1"/>
    <col min="14332" max="14334" width="0" style="2" hidden="1" customWidth="1"/>
    <col min="14335" max="14562" width="9.140625" style="2"/>
    <col min="14563" max="14563" width="5.140625" style="2" customWidth="1"/>
    <col min="14564" max="14564" width="32.42578125" style="2" customWidth="1"/>
    <col min="14565" max="14567" width="10.28515625" style="2" customWidth="1"/>
    <col min="14568" max="14569" width="12.42578125" style="2" customWidth="1"/>
    <col min="14570" max="14570" width="11.28515625" style="2" customWidth="1"/>
    <col min="14571" max="14571" width="12.42578125" style="2" customWidth="1"/>
    <col min="14572" max="14572" width="11.28515625" style="2" customWidth="1"/>
    <col min="14573" max="14573" width="12.42578125" style="2" customWidth="1"/>
    <col min="14574" max="14574" width="11.28515625" style="2" customWidth="1"/>
    <col min="14575" max="14575" width="12.42578125" style="2" customWidth="1"/>
    <col min="14576" max="14576" width="11.28515625" style="2" customWidth="1"/>
    <col min="14577" max="14577" width="12.42578125" style="2" customWidth="1"/>
    <col min="14578" max="14578" width="11.28515625" style="2" customWidth="1"/>
    <col min="14579" max="14579" width="14.140625" style="2" customWidth="1"/>
    <col min="14580" max="14580" width="10.28515625" style="2" customWidth="1"/>
    <col min="14581" max="14581" width="17.140625" style="2" customWidth="1"/>
    <col min="14582" max="14582" width="12" style="2" customWidth="1"/>
    <col min="14583" max="14583" width="14.140625" style="2" customWidth="1"/>
    <col min="14584" max="14584" width="10.28515625" style="2" customWidth="1"/>
    <col min="14585" max="14585" width="17.140625" style="2" customWidth="1"/>
    <col min="14586" max="14586" width="12" style="2" customWidth="1"/>
    <col min="14587" max="14587" width="10.7109375" style="2" customWidth="1"/>
    <col min="14588" max="14590" width="0" style="2" hidden="1" customWidth="1"/>
    <col min="14591" max="14818" width="9.140625" style="2"/>
    <col min="14819" max="14819" width="5.140625" style="2" customWidth="1"/>
    <col min="14820" max="14820" width="32.42578125" style="2" customWidth="1"/>
    <col min="14821" max="14823" width="10.28515625" style="2" customWidth="1"/>
    <col min="14824" max="14825" width="12.42578125" style="2" customWidth="1"/>
    <col min="14826" max="14826" width="11.28515625" style="2" customWidth="1"/>
    <col min="14827" max="14827" width="12.42578125" style="2" customWidth="1"/>
    <col min="14828" max="14828" width="11.28515625" style="2" customWidth="1"/>
    <col min="14829" max="14829" width="12.42578125" style="2" customWidth="1"/>
    <col min="14830" max="14830" width="11.28515625" style="2" customWidth="1"/>
    <col min="14831" max="14831" width="12.42578125" style="2" customWidth="1"/>
    <col min="14832" max="14832" width="11.28515625" style="2" customWidth="1"/>
    <col min="14833" max="14833" width="12.42578125" style="2" customWidth="1"/>
    <col min="14834" max="14834" width="11.28515625" style="2" customWidth="1"/>
    <col min="14835" max="14835" width="14.140625" style="2" customWidth="1"/>
    <col min="14836" max="14836" width="10.28515625" style="2" customWidth="1"/>
    <col min="14837" max="14837" width="17.140625" style="2" customWidth="1"/>
    <col min="14838" max="14838" width="12" style="2" customWidth="1"/>
    <col min="14839" max="14839" width="14.140625" style="2" customWidth="1"/>
    <col min="14840" max="14840" width="10.28515625" style="2" customWidth="1"/>
    <col min="14841" max="14841" width="17.140625" style="2" customWidth="1"/>
    <col min="14842" max="14842" width="12" style="2" customWidth="1"/>
    <col min="14843" max="14843" width="10.7109375" style="2" customWidth="1"/>
    <col min="14844" max="14846" width="0" style="2" hidden="1" customWidth="1"/>
    <col min="14847" max="15074" width="9.140625" style="2"/>
    <col min="15075" max="15075" width="5.140625" style="2" customWidth="1"/>
    <col min="15076" max="15076" width="32.42578125" style="2" customWidth="1"/>
    <col min="15077" max="15079" width="10.28515625" style="2" customWidth="1"/>
    <col min="15080" max="15081" width="12.42578125" style="2" customWidth="1"/>
    <col min="15082" max="15082" width="11.28515625" style="2" customWidth="1"/>
    <col min="15083" max="15083" width="12.42578125" style="2" customWidth="1"/>
    <col min="15084" max="15084" width="11.28515625" style="2" customWidth="1"/>
    <col min="15085" max="15085" width="12.42578125" style="2" customWidth="1"/>
    <col min="15086" max="15086" width="11.28515625" style="2" customWidth="1"/>
    <col min="15087" max="15087" width="12.42578125" style="2" customWidth="1"/>
    <col min="15088" max="15088" width="11.28515625" style="2" customWidth="1"/>
    <col min="15089" max="15089" width="12.42578125" style="2" customWidth="1"/>
    <col min="15090" max="15090" width="11.28515625" style="2" customWidth="1"/>
    <col min="15091" max="15091" width="14.140625" style="2" customWidth="1"/>
    <col min="15092" max="15092" width="10.28515625" style="2" customWidth="1"/>
    <col min="15093" max="15093" width="17.140625" style="2" customWidth="1"/>
    <col min="15094" max="15094" width="12" style="2" customWidth="1"/>
    <col min="15095" max="15095" width="14.140625" style="2" customWidth="1"/>
    <col min="15096" max="15096" width="10.28515625" style="2" customWidth="1"/>
    <col min="15097" max="15097" width="17.140625" style="2" customWidth="1"/>
    <col min="15098" max="15098" width="12" style="2" customWidth="1"/>
    <col min="15099" max="15099" width="10.7109375" style="2" customWidth="1"/>
    <col min="15100" max="15102" width="0" style="2" hidden="1" customWidth="1"/>
    <col min="15103" max="15330" width="9.140625" style="2"/>
    <col min="15331" max="15331" width="5.140625" style="2" customWidth="1"/>
    <col min="15332" max="15332" width="32.42578125" style="2" customWidth="1"/>
    <col min="15333" max="15335" width="10.28515625" style="2" customWidth="1"/>
    <col min="15336" max="15337" width="12.42578125" style="2" customWidth="1"/>
    <col min="15338" max="15338" width="11.28515625" style="2" customWidth="1"/>
    <col min="15339" max="15339" width="12.42578125" style="2" customWidth="1"/>
    <col min="15340" max="15340" width="11.28515625" style="2" customWidth="1"/>
    <col min="15341" max="15341" width="12.42578125" style="2" customWidth="1"/>
    <col min="15342" max="15342" width="11.28515625" style="2" customWidth="1"/>
    <col min="15343" max="15343" width="12.42578125" style="2" customWidth="1"/>
    <col min="15344" max="15344" width="11.28515625" style="2" customWidth="1"/>
    <col min="15345" max="15345" width="12.42578125" style="2" customWidth="1"/>
    <col min="15346" max="15346" width="11.28515625" style="2" customWidth="1"/>
    <col min="15347" max="15347" width="14.140625" style="2" customWidth="1"/>
    <col min="15348" max="15348" width="10.28515625" style="2" customWidth="1"/>
    <col min="15349" max="15349" width="17.140625" style="2" customWidth="1"/>
    <col min="15350" max="15350" width="12" style="2" customWidth="1"/>
    <col min="15351" max="15351" width="14.140625" style="2" customWidth="1"/>
    <col min="15352" max="15352" width="10.28515625" style="2" customWidth="1"/>
    <col min="15353" max="15353" width="17.140625" style="2" customWidth="1"/>
    <col min="15354" max="15354" width="12" style="2" customWidth="1"/>
    <col min="15355" max="15355" width="10.7109375" style="2" customWidth="1"/>
    <col min="15356" max="15358" width="0" style="2" hidden="1" customWidth="1"/>
    <col min="15359" max="15586" width="9.140625" style="2"/>
    <col min="15587" max="15587" width="5.140625" style="2" customWidth="1"/>
    <col min="15588" max="15588" width="32.42578125" style="2" customWidth="1"/>
    <col min="15589" max="15591" width="10.28515625" style="2" customWidth="1"/>
    <col min="15592" max="15593" width="12.42578125" style="2" customWidth="1"/>
    <col min="15594" max="15594" width="11.28515625" style="2" customWidth="1"/>
    <col min="15595" max="15595" width="12.42578125" style="2" customWidth="1"/>
    <col min="15596" max="15596" width="11.28515625" style="2" customWidth="1"/>
    <col min="15597" max="15597" width="12.42578125" style="2" customWidth="1"/>
    <col min="15598" max="15598" width="11.28515625" style="2" customWidth="1"/>
    <col min="15599" max="15599" width="12.42578125" style="2" customWidth="1"/>
    <col min="15600" max="15600" width="11.28515625" style="2" customWidth="1"/>
    <col min="15601" max="15601" width="12.42578125" style="2" customWidth="1"/>
    <col min="15602" max="15602" width="11.28515625" style="2" customWidth="1"/>
    <col min="15603" max="15603" width="14.140625" style="2" customWidth="1"/>
    <col min="15604" max="15604" width="10.28515625" style="2" customWidth="1"/>
    <col min="15605" max="15605" width="17.140625" style="2" customWidth="1"/>
    <col min="15606" max="15606" width="12" style="2" customWidth="1"/>
    <col min="15607" max="15607" width="14.140625" style="2" customWidth="1"/>
    <col min="15608" max="15608" width="10.28515625" style="2" customWidth="1"/>
    <col min="15609" max="15609" width="17.140625" style="2" customWidth="1"/>
    <col min="15610" max="15610" width="12" style="2" customWidth="1"/>
    <col min="15611" max="15611" width="10.7109375" style="2" customWidth="1"/>
    <col min="15612" max="15614" width="0" style="2" hidden="1" customWidth="1"/>
    <col min="15615" max="15842" width="9.140625" style="2"/>
    <col min="15843" max="15843" width="5.140625" style="2" customWidth="1"/>
    <col min="15844" max="15844" width="32.42578125" style="2" customWidth="1"/>
    <col min="15845" max="15847" width="10.28515625" style="2" customWidth="1"/>
    <col min="15848" max="15849" width="12.42578125" style="2" customWidth="1"/>
    <col min="15850" max="15850" width="11.28515625" style="2" customWidth="1"/>
    <col min="15851" max="15851" width="12.42578125" style="2" customWidth="1"/>
    <col min="15852" max="15852" width="11.28515625" style="2" customWidth="1"/>
    <col min="15853" max="15853" width="12.42578125" style="2" customWidth="1"/>
    <col min="15854" max="15854" width="11.28515625" style="2" customWidth="1"/>
    <col min="15855" max="15855" width="12.42578125" style="2" customWidth="1"/>
    <col min="15856" max="15856" width="11.28515625" style="2" customWidth="1"/>
    <col min="15857" max="15857" width="12.42578125" style="2" customWidth="1"/>
    <col min="15858" max="15858" width="11.28515625" style="2" customWidth="1"/>
    <col min="15859" max="15859" width="14.140625" style="2" customWidth="1"/>
    <col min="15860" max="15860" width="10.28515625" style="2" customWidth="1"/>
    <col min="15861" max="15861" width="17.140625" style="2" customWidth="1"/>
    <col min="15862" max="15862" width="12" style="2" customWidth="1"/>
    <col min="15863" max="15863" width="14.140625" style="2" customWidth="1"/>
    <col min="15864" max="15864" width="10.28515625" style="2" customWidth="1"/>
    <col min="15865" max="15865" width="17.140625" style="2" customWidth="1"/>
    <col min="15866" max="15866" width="12" style="2" customWidth="1"/>
    <col min="15867" max="15867" width="10.7109375" style="2" customWidth="1"/>
    <col min="15868" max="15870" width="0" style="2" hidden="1" customWidth="1"/>
    <col min="15871" max="16098" width="9.140625" style="2"/>
    <col min="16099" max="16099" width="5.140625" style="2" customWidth="1"/>
    <col min="16100" max="16100" width="32.42578125" style="2" customWidth="1"/>
    <col min="16101" max="16103" width="10.28515625" style="2" customWidth="1"/>
    <col min="16104" max="16105" width="12.42578125" style="2" customWidth="1"/>
    <col min="16106" max="16106" width="11.28515625" style="2" customWidth="1"/>
    <col min="16107" max="16107" width="12.42578125" style="2" customWidth="1"/>
    <col min="16108" max="16108" width="11.28515625" style="2" customWidth="1"/>
    <col min="16109" max="16109" width="12.42578125" style="2" customWidth="1"/>
    <col min="16110" max="16110" width="11.28515625" style="2" customWidth="1"/>
    <col min="16111" max="16111" width="12.42578125" style="2" customWidth="1"/>
    <col min="16112" max="16112" width="11.28515625" style="2" customWidth="1"/>
    <col min="16113" max="16113" width="12.42578125" style="2" customWidth="1"/>
    <col min="16114" max="16114" width="11.28515625" style="2" customWidth="1"/>
    <col min="16115" max="16115" width="14.140625" style="2" customWidth="1"/>
    <col min="16116" max="16116" width="10.28515625" style="2" customWidth="1"/>
    <col min="16117" max="16117" width="17.140625" style="2" customWidth="1"/>
    <col min="16118" max="16118" width="12" style="2" customWidth="1"/>
    <col min="16119" max="16119" width="14.140625" style="2" customWidth="1"/>
    <col min="16120" max="16120" width="10.28515625" style="2" customWidth="1"/>
    <col min="16121" max="16121" width="17.140625" style="2" customWidth="1"/>
    <col min="16122" max="16122" width="12" style="2" customWidth="1"/>
    <col min="16123" max="16123" width="10.7109375" style="2" customWidth="1"/>
    <col min="16124" max="16126" width="0" style="2" hidden="1" customWidth="1"/>
    <col min="16127" max="16384" width="9.140625" style="2"/>
  </cols>
  <sheetData>
    <row r="1" spans="1:43" ht="18.75" customHeight="1" x14ac:dyDescent="0.25">
      <c r="A1" s="347" t="s">
        <v>0</v>
      </c>
      <c r="B1" s="347"/>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348" t="s">
        <v>746</v>
      </c>
      <c r="AM1" s="348"/>
      <c r="AN1" s="348"/>
    </row>
    <row r="2" spans="1:43" ht="18.75" customHeight="1" x14ac:dyDescent="0.25">
      <c r="A2" s="348" t="s">
        <v>1</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row>
    <row r="3" spans="1:43" ht="18.75" customHeight="1" x14ac:dyDescent="0.25">
      <c r="A3" s="348" t="s">
        <v>2</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row>
    <row r="4" spans="1:43" ht="18.75" customHeight="1" x14ac:dyDescent="0.25">
      <c r="A4" s="349" t="s">
        <v>747</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row>
    <row r="5" spans="1:43" s="3" customFormat="1" x14ac:dyDescent="0.25">
      <c r="A5" s="350" t="s">
        <v>3</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row>
    <row r="6" spans="1:43" s="5" customFormat="1" ht="18.75" customHeight="1" x14ac:dyDescent="0.25">
      <c r="A6" s="332" t="s">
        <v>4</v>
      </c>
      <c r="B6" s="332" t="s">
        <v>5</v>
      </c>
      <c r="C6" s="332" t="s">
        <v>6</v>
      </c>
      <c r="D6" s="332" t="s">
        <v>7</v>
      </c>
      <c r="E6" s="332" t="s">
        <v>8</v>
      </c>
      <c r="F6" s="332" t="s">
        <v>9</v>
      </c>
      <c r="G6" s="334" t="s">
        <v>10</v>
      </c>
      <c r="H6" s="332" t="s">
        <v>11</v>
      </c>
      <c r="I6" s="332"/>
      <c r="J6" s="332"/>
      <c r="K6" s="332" t="s">
        <v>12</v>
      </c>
      <c r="L6" s="332"/>
      <c r="M6" s="332"/>
      <c r="N6" s="332"/>
      <c r="O6" s="332"/>
      <c r="P6" s="332"/>
      <c r="Q6" s="332"/>
      <c r="R6" s="332"/>
      <c r="S6" s="332" t="s">
        <v>13</v>
      </c>
      <c r="T6" s="332"/>
      <c r="U6" s="332" t="s">
        <v>14</v>
      </c>
      <c r="V6" s="332"/>
      <c r="W6" s="332"/>
      <c r="X6" s="332"/>
      <c r="Y6" s="332"/>
      <c r="Z6" s="332"/>
      <c r="AA6" s="332"/>
      <c r="AB6" s="332"/>
      <c r="AC6" s="332"/>
      <c r="AD6" s="332"/>
      <c r="AE6" s="332" t="s">
        <v>15</v>
      </c>
      <c r="AF6" s="332"/>
      <c r="AG6" s="332"/>
      <c r="AH6" s="332"/>
      <c r="AI6" s="332" t="s">
        <v>16</v>
      </c>
      <c r="AJ6" s="332"/>
      <c r="AK6" s="332"/>
      <c r="AL6" s="332"/>
      <c r="AM6" s="332"/>
      <c r="AN6" s="334" t="s">
        <v>17</v>
      </c>
    </row>
    <row r="7" spans="1:43" s="5" customFormat="1" ht="18.75" customHeight="1" x14ac:dyDescent="0.25">
      <c r="A7" s="332"/>
      <c r="B7" s="332"/>
      <c r="C7" s="332"/>
      <c r="D7" s="332"/>
      <c r="E7" s="332"/>
      <c r="F7" s="332"/>
      <c r="G7" s="335"/>
      <c r="H7" s="332" t="s">
        <v>18</v>
      </c>
      <c r="I7" s="332" t="s">
        <v>19</v>
      </c>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5"/>
    </row>
    <row r="8" spans="1:43" s="5" customFormat="1" ht="57.75" customHeight="1" x14ac:dyDescent="0.25">
      <c r="A8" s="332"/>
      <c r="B8" s="332"/>
      <c r="C8" s="332"/>
      <c r="D8" s="332"/>
      <c r="E8" s="332"/>
      <c r="F8" s="332"/>
      <c r="G8" s="335"/>
      <c r="H8" s="332"/>
      <c r="I8" s="332" t="s">
        <v>20</v>
      </c>
      <c r="J8" s="332" t="s">
        <v>21</v>
      </c>
      <c r="K8" s="332"/>
      <c r="L8" s="332"/>
      <c r="M8" s="332"/>
      <c r="N8" s="332"/>
      <c r="O8" s="332"/>
      <c r="P8" s="332"/>
      <c r="Q8" s="332"/>
      <c r="R8" s="332"/>
      <c r="S8" s="332"/>
      <c r="T8" s="332"/>
      <c r="U8" s="332" t="s">
        <v>22</v>
      </c>
      <c r="V8" s="332"/>
      <c r="W8" s="332"/>
      <c r="X8" s="332"/>
      <c r="Y8" s="332"/>
      <c r="Z8" s="332" t="s">
        <v>23</v>
      </c>
      <c r="AA8" s="332"/>
      <c r="AB8" s="332"/>
      <c r="AC8" s="332"/>
      <c r="AD8" s="332"/>
      <c r="AE8" s="332" t="s">
        <v>20</v>
      </c>
      <c r="AF8" s="338" t="s">
        <v>24</v>
      </c>
      <c r="AG8" s="339"/>
      <c r="AH8" s="340"/>
      <c r="AI8" s="332" t="s">
        <v>20</v>
      </c>
      <c r="AJ8" s="332" t="s">
        <v>25</v>
      </c>
      <c r="AK8" s="332"/>
      <c r="AL8" s="332"/>
      <c r="AM8" s="332"/>
      <c r="AN8" s="335"/>
    </row>
    <row r="9" spans="1:43" s="5" customFormat="1" ht="18.75" customHeight="1" x14ac:dyDescent="0.25">
      <c r="A9" s="332"/>
      <c r="B9" s="332"/>
      <c r="C9" s="332"/>
      <c r="D9" s="332"/>
      <c r="E9" s="332"/>
      <c r="F9" s="332"/>
      <c r="G9" s="335"/>
      <c r="H9" s="332"/>
      <c r="I9" s="332"/>
      <c r="J9" s="337"/>
      <c r="K9" s="332" t="s">
        <v>20</v>
      </c>
      <c r="L9" s="332" t="s">
        <v>24</v>
      </c>
      <c r="M9" s="332" t="s">
        <v>20</v>
      </c>
      <c r="N9" s="332" t="s">
        <v>21</v>
      </c>
      <c r="O9" s="332" t="s">
        <v>20</v>
      </c>
      <c r="P9" s="332" t="s">
        <v>21</v>
      </c>
      <c r="Q9" s="332" t="s">
        <v>20</v>
      </c>
      <c r="R9" s="332" t="s">
        <v>21</v>
      </c>
      <c r="S9" s="332" t="s">
        <v>20</v>
      </c>
      <c r="T9" s="332" t="s">
        <v>24</v>
      </c>
      <c r="U9" s="332" t="s">
        <v>20</v>
      </c>
      <c r="V9" s="332" t="s">
        <v>26</v>
      </c>
      <c r="W9" s="333" t="s">
        <v>27</v>
      </c>
      <c r="X9" s="333"/>
      <c r="Y9" s="333"/>
      <c r="Z9" s="332" t="s">
        <v>20</v>
      </c>
      <c r="AA9" s="332" t="s">
        <v>24</v>
      </c>
      <c r="AB9" s="333" t="s">
        <v>27</v>
      </c>
      <c r="AC9" s="333"/>
      <c r="AD9" s="333"/>
      <c r="AE9" s="332"/>
      <c r="AF9" s="341"/>
      <c r="AG9" s="342"/>
      <c r="AH9" s="343"/>
      <c r="AI9" s="332"/>
      <c r="AJ9" s="332" t="s">
        <v>28</v>
      </c>
      <c r="AK9" s="332" t="s">
        <v>29</v>
      </c>
      <c r="AL9" s="332" t="s">
        <v>30</v>
      </c>
      <c r="AM9" s="332" t="s">
        <v>31</v>
      </c>
      <c r="AN9" s="335"/>
    </row>
    <row r="10" spans="1:43" s="5" customFormat="1" ht="76.5" x14ac:dyDescent="0.25">
      <c r="A10" s="332"/>
      <c r="B10" s="332"/>
      <c r="C10" s="332"/>
      <c r="D10" s="332"/>
      <c r="E10" s="332"/>
      <c r="F10" s="332"/>
      <c r="G10" s="336"/>
      <c r="H10" s="332"/>
      <c r="I10" s="332"/>
      <c r="J10" s="337"/>
      <c r="K10" s="332"/>
      <c r="L10" s="332"/>
      <c r="M10" s="332"/>
      <c r="N10" s="332"/>
      <c r="O10" s="332"/>
      <c r="P10" s="332"/>
      <c r="Q10" s="332"/>
      <c r="R10" s="332"/>
      <c r="S10" s="332"/>
      <c r="T10" s="332"/>
      <c r="U10" s="332"/>
      <c r="V10" s="332"/>
      <c r="W10" s="6" t="s">
        <v>32</v>
      </c>
      <c r="X10" s="6" t="s">
        <v>33</v>
      </c>
      <c r="Y10" s="6" t="s">
        <v>34</v>
      </c>
      <c r="Z10" s="332"/>
      <c r="AA10" s="332"/>
      <c r="AB10" s="6" t="s">
        <v>32</v>
      </c>
      <c r="AC10" s="6" t="s">
        <v>33</v>
      </c>
      <c r="AD10" s="6" t="s">
        <v>34</v>
      </c>
      <c r="AE10" s="332"/>
      <c r="AF10" s="344"/>
      <c r="AG10" s="345"/>
      <c r="AH10" s="346"/>
      <c r="AI10" s="332"/>
      <c r="AJ10" s="332"/>
      <c r="AK10" s="332"/>
      <c r="AL10" s="332"/>
      <c r="AM10" s="332"/>
      <c r="AN10" s="336"/>
    </row>
    <row r="11" spans="1:43" s="12" customFormat="1" ht="12.75" x14ac:dyDescent="0.25">
      <c r="A11" s="8">
        <v>1</v>
      </c>
      <c r="B11" s="8">
        <f>A11+1</f>
        <v>2</v>
      </c>
      <c r="C11" s="8">
        <v>3</v>
      </c>
      <c r="D11" s="8">
        <v>3</v>
      </c>
      <c r="E11" s="8">
        <v>5</v>
      </c>
      <c r="F11" s="8">
        <v>6</v>
      </c>
      <c r="G11" s="9">
        <v>4</v>
      </c>
      <c r="H11" s="8">
        <v>5</v>
      </c>
      <c r="I11" s="8">
        <f>H11+1</f>
        <v>6</v>
      </c>
      <c r="J11" s="8">
        <v>7</v>
      </c>
      <c r="K11" s="8">
        <v>8</v>
      </c>
      <c r="L11" s="8">
        <v>9</v>
      </c>
      <c r="M11" s="8"/>
      <c r="N11" s="8"/>
      <c r="O11" s="8"/>
      <c r="P11" s="8"/>
      <c r="Q11" s="8">
        <f>P11+1</f>
        <v>1</v>
      </c>
      <c r="R11" s="8">
        <v>16</v>
      </c>
      <c r="S11" s="8">
        <v>10</v>
      </c>
      <c r="T11" s="8">
        <v>11</v>
      </c>
      <c r="U11" s="8">
        <v>19</v>
      </c>
      <c r="V11" s="8">
        <v>12</v>
      </c>
      <c r="W11" s="10">
        <f>V11+1</f>
        <v>13</v>
      </c>
      <c r="X11" s="8">
        <v>22</v>
      </c>
      <c r="Y11" s="8">
        <v>23</v>
      </c>
      <c r="Z11" s="8">
        <f>Y11+1</f>
        <v>24</v>
      </c>
      <c r="AA11" s="8">
        <v>13</v>
      </c>
      <c r="AB11" s="10">
        <f>AA11+1</f>
        <v>14</v>
      </c>
      <c r="AC11" s="8">
        <v>27</v>
      </c>
      <c r="AD11" s="8">
        <v>28</v>
      </c>
      <c r="AE11" s="8">
        <v>14</v>
      </c>
      <c r="AF11" s="8">
        <v>15</v>
      </c>
      <c r="AG11" s="8">
        <f>AF11+1</f>
        <v>16</v>
      </c>
      <c r="AH11" s="8">
        <v>32</v>
      </c>
      <c r="AI11" s="8"/>
      <c r="AJ11" s="8">
        <v>17</v>
      </c>
      <c r="AK11" s="8">
        <v>18</v>
      </c>
      <c r="AL11" s="8">
        <v>19</v>
      </c>
      <c r="AM11" s="8">
        <v>20</v>
      </c>
      <c r="AN11" s="11">
        <v>21</v>
      </c>
      <c r="AP11" s="12">
        <f>630000-AJ12</f>
        <v>76546</v>
      </c>
    </row>
    <row r="12" spans="1:43" s="21" customFormat="1" ht="24.75" customHeight="1" x14ac:dyDescent="0.25">
      <c r="A12" s="13"/>
      <c r="B12" s="14" t="s">
        <v>26</v>
      </c>
      <c r="C12" s="15"/>
      <c r="D12" s="16"/>
      <c r="E12" s="13"/>
      <c r="F12" s="13"/>
      <c r="G12" s="17"/>
      <c r="H12" s="17"/>
      <c r="I12" s="18">
        <f>I13+I20+I23+I27+I31+I43+I48+I52+I55+I77+I69+I80+I83+I88+I94+I91</f>
        <v>4417158</v>
      </c>
      <c r="J12" s="18">
        <f>J13+J20+J23+J27+J31+J43+J48+J52+J55+J77+J69+J80+J83+J88+J94+J91</f>
        <v>3215582</v>
      </c>
      <c r="K12" s="18">
        <f>K13+K20+K23+K27+K31+K43+K48+K52+K55+K77+K69+K80+K83+K88+K94+K91</f>
        <v>619648.63300000003</v>
      </c>
      <c r="L12" s="18">
        <f>L13+L20+L23+L27+L31+L43+L48+L52+L55+L77+L69+L80+L83+L88+L94+L91</f>
        <v>619648.63300000003</v>
      </c>
      <c r="M12" s="18" t="e">
        <f>#REF!+M13+M20+M23+M27+M31+M43+M48+M52+M55+M77+M69+M80+M83+M88+M94+M91</f>
        <v>#REF!</v>
      </c>
      <c r="N12" s="18" t="e">
        <f>#REF!+N13+N20+N23+N27+N31+N43+N48+N52+N55+N77+N69+N80+N83+N88+N94+N91</f>
        <v>#REF!</v>
      </c>
      <c r="O12" s="18" t="e">
        <f>#REF!+O13+O20+O23+O27+O31+O43+O48+O52+O55+O77+O69+O80+O83+O88+O94+O91</f>
        <v>#REF!</v>
      </c>
      <c r="P12" s="18" t="e">
        <f>#REF!+P13+P20+P23+P27+P31+P43+P48+P52+P55+P77+P69+P80+P83+P88+P94+P91</f>
        <v>#REF!</v>
      </c>
      <c r="Q12" s="18" t="e">
        <f>#REF!+Q13+Q20+Q23+Q27+Q31+Q43+Q48+Q52+Q55+Q77+Q69+Q80+Q83+Q88+Q94+Q91</f>
        <v>#REF!</v>
      </c>
      <c r="R12" s="18" t="e">
        <f>#REF!+R13+R20+R23+R27+R31+R43+R48+R52+R55+R77+R69+R80+R83+R88+R94+R91</f>
        <v>#REF!</v>
      </c>
      <c r="S12" s="18" t="e">
        <f>#REF!+S13+S20+S23+S27+S31+S43+S48+S52+S55+S77+S69+S80+S83+S88+S94+S91</f>
        <v>#REF!</v>
      </c>
      <c r="T12" s="18" t="e">
        <f>#REF!+T13+T20+T23+T27+T31+T43+T48+T52+T55+T77+T69+T80+T83+T88+T94+T91</f>
        <v>#REF!</v>
      </c>
      <c r="U12" s="18" t="e">
        <f>#REF!+U13+U20+U23+U27+U31+U43+U48+U52+U55+U77+U69+U80+U83+U88+U94+U91</f>
        <v>#REF!</v>
      </c>
      <c r="V12" s="18">
        <f>V13+V20+V23+V27+V31+V43+V48+V52+V55+V77+V69+V80+V83+V88+V94+V91</f>
        <v>2935367</v>
      </c>
      <c r="W12" s="18" t="e">
        <f>#REF!+W13+W20+W23+W27+W31+W43+W48+W52+W55+W77+W69+W80+W83+W88+W94+W91</f>
        <v>#REF!</v>
      </c>
      <c r="X12" s="18" t="e">
        <f>#REF!+X13+X20+X23+X27+X31+X43+X48+X52+X55+X77+X69+X80+X83+X88+X94+X91</f>
        <v>#REF!</v>
      </c>
      <c r="Y12" s="18" t="e">
        <f>#REF!+Y13+Y20+Y23+Y27+Y31+Y43+Y48+Y52+Y55+Y77+Y69+Y80+Y83+Y88+Y94+Y91</f>
        <v>#REF!</v>
      </c>
      <c r="Z12" s="18" t="e">
        <f>#REF!+Z13+Z20+Z23+Z27+Z31+Z43+Z48+Z52+Z55+Z77+Z69+Z80+Z83+Z88+Z94+Z91</f>
        <v>#REF!</v>
      </c>
      <c r="AA12" s="18">
        <f>AA13+AA20+AA23+AA27+AA31+AA43+AA48+AA52+AA55+AA77+AA69+AA80+AA83+AA88+AA94+AA91</f>
        <v>1500490.1739999999</v>
      </c>
      <c r="AB12" s="18" t="e">
        <f>#REF!+AB13+AB20+AB23+AB27+AB31+AB43+AB48+AB52+AB55+AB77+AB69+AB80+AB83+AB88+AB94+AB91</f>
        <v>#REF!</v>
      </c>
      <c r="AC12" s="18" t="e">
        <f>#REF!+AC13+AC20+AC23+AC27+AC31+AC43+AC48+AC52+AC55+AC77+AC69+AC80+AC83+AC88+AC94+AC91</f>
        <v>#REF!</v>
      </c>
      <c r="AD12" s="18" t="e">
        <f>#REF!+AD13+AD20+AD23+AD27+AD31+AD43+AD48+AD52+AD55+AD77+AD69+AD80+AD83+AD88+AD94+AD91</f>
        <v>#REF!</v>
      </c>
      <c r="AE12" s="18" t="e">
        <f>#REF!+AE13+AE20+AE23+AE27+AE31+AE43+AE48+AE52+AE55+AE77+AE69+AE80+AE83+AE88+AE94+AE91</f>
        <v>#REF!</v>
      </c>
      <c r="AF12" s="18" t="e">
        <f>#REF!+AF13+AF20+AF23+AF27+AF31+AF43+AF48+AF52+AF55+AF77+AF69+AF80+AF83+AF88+AF94+AF91</f>
        <v>#REF!</v>
      </c>
      <c r="AG12" s="18" t="e">
        <f>#REF!+AG13+AG20+AG23+AG27+AG31+AG43+AG48+AG52+AG55+AG77+AG69+AG80+AG83+AG88+AG94+AG91</f>
        <v>#REF!</v>
      </c>
      <c r="AH12" s="18" t="e">
        <f>#REF!+AH13+AH20+AH23+AH27+AH31+AH43+AH48+AH52+AH55+AH77+AH69+AH80+AH83+AH88+AH94+AH91</f>
        <v>#REF!</v>
      </c>
      <c r="AI12" s="18">
        <f>AI13+AI20+AI23+AI27+AI31+AI43+AI48+AI52+AI55+AI77+AI69+AI80+AI83+AI88+AI94+AI91</f>
        <v>1011504</v>
      </c>
      <c r="AJ12" s="18">
        <f>AJ13+AJ20+AJ23+AJ27+AJ31+AJ43+AJ48+AJ52+AJ55+AJ77+AJ69+AJ80+AJ83+AJ88+AJ94+AJ91</f>
        <v>553454</v>
      </c>
      <c r="AK12" s="18">
        <f>AK13+AK20+AK23+AK27+AK31+AK43+AK48+AK52+AK55+AK77+AK69+AK80+AK83+AK88+AK94+AK91</f>
        <v>424236</v>
      </c>
      <c r="AL12" s="18">
        <f>AL13+AL20+AL23+AL27+AL31+AL43+AL48+AL52+AL55+AL77+AL69+AL80+AL83+AL88+AL94+AL91</f>
        <v>15814</v>
      </c>
      <c r="AM12" s="18">
        <f>AM13+AM20+AM23+AM27+AM31+AM43+AM48+AM52+AM55+AM77+AM69+AM80+AM83+AM88+AM94+AM91</f>
        <v>18000</v>
      </c>
      <c r="AN12" s="19"/>
      <c r="AO12" s="20">
        <f>ROUND(V12*0.9-AA12,-2)</f>
        <v>1141300</v>
      </c>
      <c r="AQ12" s="21">
        <f>416200-AK12</f>
        <v>-8036</v>
      </c>
    </row>
    <row r="13" spans="1:43" ht="24.75" customHeight="1" x14ac:dyDescent="0.25">
      <c r="A13" s="22" t="s">
        <v>35</v>
      </c>
      <c r="B13" s="23" t="s">
        <v>36</v>
      </c>
      <c r="C13" s="24"/>
      <c r="D13" s="24"/>
      <c r="E13" s="25"/>
      <c r="F13" s="25"/>
      <c r="G13" s="26"/>
      <c r="H13" s="26"/>
      <c r="I13" s="27">
        <f>I14</f>
        <v>109742</v>
      </c>
      <c r="J13" s="27">
        <f t="shared" ref="J13:AM13" si="0">J14</f>
        <v>109742</v>
      </c>
      <c r="K13" s="27">
        <f t="shared" si="0"/>
        <v>35509</v>
      </c>
      <c r="L13" s="27">
        <f t="shared" si="0"/>
        <v>35509</v>
      </c>
      <c r="M13" s="27">
        <f t="shared" si="0"/>
        <v>13858</v>
      </c>
      <c r="N13" s="27">
        <f t="shared" si="0"/>
        <v>13858</v>
      </c>
      <c r="O13" s="27">
        <f t="shared" si="0"/>
        <v>22918.2</v>
      </c>
      <c r="P13" s="27">
        <f t="shared" si="0"/>
        <v>22918.2</v>
      </c>
      <c r="Q13" s="27">
        <f t="shared" si="0"/>
        <v>29782</v>
      </c>
      <c r="R13" s="27">
        <f t="shared" si="0"/>
        <v>29782</v>
      </c>
      <c r="S13" s="27">
        <f t="shared" si="0"/>
        <v>54540</v>
      </c>
      <c r="T13" s="27">
        <f t="shared" si="0"/>
        <v>54540</v>
      </c>
      <c r="U13" s="27">
        <f t="shared" si="0"/>
        <v>0</v>
      </c>
      <c r="V13" s="27">
        <f t="shared" si="0"/>
        <v>109742</v>
      </c>
      <c r="W13" s="27">
        <f t="shared" si="0"/>
        <v>0</v>
      </c>
      <c r="X13" s="27">
        <f t="shared" si="0"/>
        <v>0</v>
      </c>
      <c r="Y13" s="27">
        <f t="shared" si="0"/>
        <v>0</v>
      </c>
      <c r="Z13" s="27">
        <f t="shared" si="0"/>
        <v>0</v>
      </c>
      <c r="AA13" s="27">
        <f t="shared" si="0"/>
        <v>54540</v>
      </c>
      <c r="AB13" s="27">
        <f t="shared" si="0"/>
        <v>0</v>
      </c>
      <c r="AC13" s="27">
        <f t="shared" si="0"/>
        <v>0</v>
      </c>
      <c r="AD13" s="27">
        <f t="shared" si="0"/>
        <v>0</v>
      </c>
      <c r="AE13" s="27">
        <f t="shared" si="0"/>
        <v>55202</v>
      </c>
      <c r="AF13" s="27">
        <f t="shared" si="0"/>
        <v>55202</v>
      </c>
      <c r="AG13" s="27">
        <f t="shared" si="0"/>
        <v>0</v>
      </c>
      <c r="AH13" s="27">
        <f t="shared" si="0"/>
        <v>0</v>
      </c>
      <c r="AI13" s="27">
        <f t="shared" si="0"/>
        <v>46000</v>
      </c>
      <c r="AJ13" s="27">
        <f t="shared" si="0"/>
        <v>41000</v>
      </c>
      <c r="AK13" s="27">
        <f t="shared" si="0"/>
        <v>0</v>
      </c>
      <c r="AL13" s="27">
        <f t="shared" si="0"/>
        <v>0</v>
      </c>
      <c r="AM13" s="27">
        <f t="shared" si="0"/>
        <v>5000</v>
      </c>
      <c r="AN13" s="28"/>
      <c r="AO13" s="20">
        <f t="shared" ref="AO13:AO56" si="1">ROUND(V13*0.9-AA13,-2)</f>
        <v>44200</v>
      </c>
    </row>
    <row r="14" spans="1:43" s="36" customFormat="1" ht="18.75" customHeight="1" x14ac:dyDescent="0.25">
      <c r="A14" s="29"/>
      <c r="B14" s="30" t="s">
        <v>37</v>
      </c>
      <c r="C14" s="31"/>
      <c r="D14" s="32"/>
      <c r="E14" s="33"/>
      <c r="F14" s="33"/>
      <c r="G14" s="32"/>
      <c r="H14" s="32"/>
      <c r="I14" s="34">
        <f t="shared" ref="I14:AM14" si="2">SUM(I15:I19)</f>
        <v>109742</v>
      </c>
      <c r="J14" s="34">
        <f t="shared" si="2"/>
        <v>109742</v>
      </c>
      <c r="K14" s="34">
        <f t="shared" si="2"/>
        <v>35509</v>
      </c>
      <c r="L14" s="34">
        <f t="shared" si="2"/>
        <v>35509</v>
      </c>
      <c r="M14" s="34">
        <f t="shared" si="2"/>
        <v>13858</v>
      </c>
      <c r="N14" s="34">
        <f t="shared" si="2"/>
        <v>13858</v>
      </c>
      <c r="O14" s="34">
        <f t="shared" si="2"/>
        <v>22918.2</v>
      </c>
      <c r="P14" s="34">
        <f t="shared" si="2"/>
        <v>22918.2</v>
      </c>
      <c r="Q14" s="34">
        <f t="shared" si="2"/>
        <v>29782</v>
      </c>
      <c r="R14" s="34">
        <f t="shared" si="2"/>
        <v>29782</v>
      </c>
      <c r="S14" s="34">
        <f t="shared" si="2"/>
        <v>54540</v>
      </c>
      <c r="T14" s="34">
        <f t="shared" si="2"/>
        <v>54540</v>
      </c>
      <c r="U14" s="34">
        <f t="shared" si="2"/>
        <v>0</v>
      </c>
      <c r="V14" s="34">
        <f t="shared" si="2"/>
        <v>109742</v>
      </c>
      <c r="W14" s="34">
        <f t="shared" si="2"/>
        <v>0</v>
      </c>
      <c r="X14" s="34">
        <f t="shared" si="2"/>
        <v>0</v>
      </c>
      <c r="Y14" s="34">
        <f t="shared" si="2"/>
        <v>0</v>
      </c>
      <c r="Z14" s="34">
        <f t="shared" si="2"/>
        <v>0</v>
      </c>
      <c r="AA14" s="34">
        <f t="shared" si="2"/>
        <v>54540</v>
      </c>
      <c r="AB14" s="34">
        <f t="shared" si="2"/>
        <v>0</v>
      </c>
      <c r="AC14" s="34">
        <f t="shared" si="2"/>
        <v>0</v>
      </c>
      <c r="AD14" s="34">
        <f t="shared" si="2"/>
        <v>0</v>
      </c>
      <c r="AE14" s="34">
        <f t="shared" si="2"/>
        <v>55202</v>
      </c>
      <c r="AF14" s="34">
        <f t="shared" si="2"/>
        <v>55202</v>
      </c>
      <c r="AG14" s="34">
        <f t="shared" si="2"/>
        <v>0</v>
      </c>
      <c r="AH14" s="34">
        <f t="shared" si="2"/>
        <v>0</v>
      </c>
      <c r="AI14" s="34">
        <f t="shared" si="2"/>
        <v>46000</v>
      </c>
      <c r="AJ14" s="34">
        <f t="shared" si="2"/>
        <v>41000</v>
      </c>
      <c r="AK14" s="34">
        <f t="shared" si="2"/>
        <v>0</v>
      </c>
      <c r="AL14" s="34">
        <f t="shared" si="2"/>
        <v>0</v>
      </c>
      <c r="AM14" s="34">
        <f t="shared" si="2"/>
        <v>5000</v>
      </c>
      <c r="AN14" s="35"/>
      <c r="AO14" s="20">
        <f t="shared" si="1"/>
        <v>44200</v>
      </c>
    </row>
    <row r="15" spans="1:43" s="36" customFormat="1" ht="45" x14ac:dyDescent="0.25">
      <c r="A15" s="37" t="s">
        <v>38</v>
      </c>
      <c r="B15" s="38" t="s">
        <v>39</v>
      </c>
      <c r="C15" s="39">
        <v>7940851</v>
      </c>
      <c r="D15" s="40" t="s">
        <v>40</v>
      </c>
      <c r="E15" s="33"/>
      <c r="F15" s="41" t="s">
        <v>41</v>
      </c>
      <c r="G15" s="40" t="s">
        <v>42</v>
      </c>
      <c r="H15" s="40" t="s">
        <v>43</v>
      </c>
      <c r="I15" s="42">
        <f>SUM(J15:J15)</f>
        <v>36000</v>
      </c>
      <c r="J15" s="43">
        <v>36000</v>
      </c>
      <c r="K15" s="42">
        <f t="shared" ref="K15:K30" si="3">L15</f>
        <v>10982</v>
      </c>
      <c r="L15" s="44">
        <v>10982</v>
      </c>
      <c r="M15" s="44">
        <v>9282</v>
      </c>
      <c r="N15" s="44">
        <v>9282</v>
      </c>
      <c r="O15" s="44">
        <v>9282</v>
      </c>
      <c r="P15" s="44">
        <v>9282</v>
      </c>
      <c r="Q15" s="42">
        <f>R15</f>
        <v>9282</v>
      </c>
      <c r="R15" s="44">
        <v>9282</v>
      </c>
      <c r="S15" s="44">
        <f>7000+10982</f>
        <v>17982</v>
      </c>
      <c r="T15" s="44">
        <f>7000+10982</f>
        <v>17982</v>
      </c>
      <c r="U15" s="34"/>
      <c r="V15" s="43">
        <v>36000</v>
      </c>
      <c r="W15" s="34"/>
      <c r="X15" s="34"/>
      <c r="Y15" s="34"/>
      <c r="Z15" s="34"/>
      <c r="AA15" s="44">
        <f>T15</f>
        <v>17982</v>
      </c>
      <c r="AB15" s="34"/>
      <c r="AC15" s="34"/>
      <c r="AD15" s="34"/>
      <c r="AE15" s="42">
        <f t="shared" ref="AE15:AE45" si="4">AF15</f>
        <v>18018</v>
      </c>
      <c r="AF15" s="42">
        <f t="shared" ref="AF15:AF30" si="5">V15-AA15</f>
        <v>18018</v>
      </c>
      <c r="AG15" s="34"/>
      <c r="AH15" s="34"/>
      <c r="AI15" s="42">
        <f t="shared" ref="AI15:AI59" si="6">SUM(AJ15:AM15)</f>
        <v>16000</v>
      </c>
      <c r="AJ15" s="42">
        <v>16000</v>
      </c>
      <c r="AK15" s="42"/>
      <c r="AL15" s="42"/>
      <c r="AM15" s="42"/>
      <c r="AN15" s="28" t="s">
        <v>44</v>
      </c>
      <c r="AO15" s="20">
        <f>ROUND(V15*0.92-AA15,-2)</f>
        <v>15100</v>
      </c>
    </row>
    <row r="16" spans="1:43" s="36" customFormat="1" ht="45" x14ac:dyDescent="0.25">
      <c r="A16" s="37" t="s">
        <v>45</v>
      </c>
      <c r="B16" s="45" t="s">
        <v>46</v>
      </c>
      <c r="C16" s="40">
        <v>7940846</v>
      </c>
      <c r="D16" s="40" t="s">
        <v>40</v>
      </c>
      <c r="E16" s="33"/>
      <c r="F16" s="41" t="s">
        <v>41</v>
      </c>
      <c r="G16" s="40" t="s">
        <v>42</v>
      </c>
      <c r="H16" s="40" t="s">
        <v>47</v>
      </c>
      <c r="I16" s="42">
        <v>20500</v>
      </c>
      <c r="J16" s="42">
        <v>20500</v>
      </c>
      <c r="K16" s="42">
        <f t="shared" si="3"/>
        <v>8500</v>
      </c>
      <c r="L16" s="44">
        <v>8500</v>
      </c>
      <c r="M16" s="44">
        <v>302</v>
      </c>
      <c r="N16" s="44">
        <v>302</v>
      </c>
      <c r="O16" s="42">
        <f>P16</f>
        <v>5100</v>
      </c>
      <c r="P16" s="42">
        <f>L16*0.6</f>
        <v>5100</v>
      </c>
      <c r="Q16" s="42">
        <f>R16</f>
        <v>7000</v>
      </c>
      <c r="R16" s="44">
        <v>7000</v>
      </c>
      <c r="S16" s="44">
        <f>8500+360</f>
        <v>8860</v>
      </c>
      <c r="T16" s="44">
        <f>8500+360</f>
        <v>8860</v>
      </c>
      <c r="U16" s="34"/>
      <c r="V16" s="42">
        <v>20500</v>
      </c>
      <c r="W16" s="34"/>
      <c r="X16" s="34"/>
      <c r="Y16" s="34"/>
      <c r="Z16" s="34"/>
      <c r="AA16" s="44">
        <f>8500+360</f>
        <v>8860</v>
      </c>
      <c r="AB16" s="34"/>
      <c r="AC16" s="34"/>
      <c r="AD16" s="34"/>
      <c r="AE16" s="42">
        <f t="shared" si="4"/>
        <v>11640</v>
      </c>
      <c r="AF16" s="42">
        <f t="shared" si="5"/>
        <v>11640</v>
      </c>
      <c r="AG16" s="34"/>
      <c r="AH16" s="34"/>
      <c r="AI16" s="42">
        <f t="shared" si="6"/>
        <v>10000</v>
      </c>
      <c r="AJ16" s="42">
        <v>10000</v>
      </c>
      <c r="AK16" s="42"/>
      <c r="AL16" s="42"/>
      <c r="AM16" s="42"/>
      <c r="AN16" s="28" t="s">
        <v>44</v>
      </c>
      <c r="AO16" s="20">
        <f t="shared" ref="AO16:AO19" si="7">ROUND(V16*0.92-AA16,-2)</f>
        <v>10000</v>
      </c>
    </row>
    <row r="17" spans="1:42" s="36" customFormat="1" ht="45" x14ac:dyDescent="0.25">
      <c r="A17" s="37" t="s">
        <v>48</v>
      </c>
      <c r="B17" s="45" t="s">
        <v>49</v>
      </c>
      <c r="C17" s="40">
        <v>7940860</v>
      </c>
      <c r="D17" s="40" t="s">
        <v>40</v>
      </c>
      <c r="E17" s="33"/>
      <c r="F17" s="41" t="s">
        <v>41</v>
      </c>
      <c r="G17" s="40" t="s">
        <v>42</v>
      </c>
      <c r="H17" s="40" t="s">
        <v>50</v>
      </c>
      <c r="I17" s="42">
        <v>32000</v>
      </c>
      <c r="J17" s="42">
        <v>32000</v>
      </c>
      <c r="K17" s="42">
        <f t="shared" si="3"/>
        <v>6727</v>
      </c>
      <c r="L17" s="44">
        <v>6727</v>
      </c>
      <c r="M17" s="44">
        <v>370</v>
      </c>
      <c r="N17" s="44">
        <v>370</v>
      </c>
      <c r="O17" s="42">
        <f>P17</f>
        <v>4036.2</v>
      </c>
      <c r="P17" s="42">
        <f>L17*0.6</f>
        <v>4036.2</v>
      </c>
      <c r="Q17" s="42">
        <f>R17</f>
        <v>9000</v>
      </c>
      <c r="R17" s="44">
        <v>9000</v>
      </c>
      <c r="S17" s="44">
        <v>12727</v>
      </c>
      <c r="T17" s="44">
        <v>12727</v>
      </c>
      <c r="U17" s="34"/>
      <c r="V17" s="42">
        <v>32000</v>
      </c>
      <c r="W17" s="34"/>
      <c r="X17" s="34"/>
      <c r="Y17" s="34"/>
      <c r="Z17" s="34"/>
      <c r="AA17" s="44">
        <v>12727</v>
      </c>
      <c r="AB17" s="34"/>
      <c r="AC17" s="34"/>
      <c r="AD17" s="34"/>
      <c r="AE17" s="42">
        <f t="shared" si="4"/>
        <v>19273</v>
      </c>
      <c r="AF17" s="42">
        <f t="shared" si="5"/>
        <v>19273</v>
      </c>
      <c r="AG17" s="34"/>
      <c r="AH17" s="34"/>
      <c r="AI17" s="42">
        <f t="shared" si="6"/>
        <v>15000</v>
      </c>
      <c r="AJ17" s="42">
        <v>10000</v>
      </c>
      <c r="AK17" s="42"/>
      <c r="AL17" s="42"/>
      <c r="AM17" s="42">
        <v>5000</v>
      </c>
      <c r="AN17" s="28" t="s">
        <v>44</v>
      </c>
      <c r="AO17" s="20">
        <f t="shared" si="7"/>
        <v>16700</v>
      </c>
    </row>
    <row r="18" spans="1:42" s="36" customFormat="1" ht="45" x14ac:dyDescent="0.25">
      <c r="A18" s="37" t="s">
        <v>51</v>
      </c>
      <c r="B18" s="38" t="s">
        <v>52</v>
      </c>
      <c r="C18" s="39">
        <v>7940850</v>
      </c>
      <c r="D18" s="40" t="s">
        <v>40</v>
      </c>
      <c r="E18" s="33"/>
      <c r="F18" s="41" t="s">
        <v>41</v>
      </c>
      <c r="G18" s="40" t="s">
        <v>42</v>
      </c>
      <c r="H18" s="40" t="s">
        <v>53</v>
      </c>
      <c r="I18" s="44">
        <v>10242</v>
      </c>
      <c r="J18" s="44">
        <v>10242</v>
      </c>
      <c r="K18" s="42">
        <f t="shared" si="3"/>
        <v>3500</v>
      </c>
      <c r="L18" s="43">
        <v>3500</v>
      </c>
      <c r="M18" s="43">
        <v>1000</v>
      </c>
      <c r="N18" s="43">
        <v>1000</v>
      </c>
      <c r="O18" s="43">
        <v>1000</v>
      </c>
      <c r="P18" s="43">
        <v>1000</v>
      </c>
      <c r="Q18" s="42">
        <f>R18</f>
        <v>1000</v>
      </c>
      <c r="R18" s="43">
        <v>1000</v>
      </c>
      <c r="S18" s="43">
        <f>6200+2500</f>
        <v>8700</v>
      </c>
      <c r="T18" s="43">
        <f>6200+2500</f>
        <v>8700</v>
      </c>
      <c r="U18" s="34"/>
      <c r="V18" s="44">
        <v>10242</v>
      </c>
      <c r="W18" s="34"/>
      <c r="X18" s="34"/>
      <c r="Y18" s="34"/>
      <c r="Z18" s="34"/>
      <c r="AA18" s="43">
        <f>6200+2500</f>
        <v>8700</v>
      </c>
      <c r="AB18" s="34"/>
      <c r="AC18" s="34"/>
      <c r="AD18" s="34"/>
      <c r="AE18" s="42">
        <f t="shared" si="4"/>
        <v>1542</v>
      </c>
      <c r="AF18" s="42">
        <f t="shared" si="5"/>
        <v>1542</v>
      </c>
      <c r="AG18" s="34"/>
      <c r="AH18" s="34"/>
      <c r="AI18" s="42">
        <f t="shared" si="6"/>
        <v>1000</v>
      </c>
      <c r="AJ18" s="42">
        <v>1000</v>
      </c>
      <c r="AK18" s="42"/>
      <c r="AL18" s="42"/>
      <c r="AM18" s="42"/>
      <c r="AN18" s="28" t="s">
        <v>44</v>
      </c>
      <c r="AO18" s="20">
        <f t="shared" si="7"/>
        <v>700</v>
      </c>
    </row>
    <row r="19" spans="1:42" s="50" customFormat="1" ht="45" x14ac:dyDescent="0.25">
      <c r="A19" s="37" t="s">
        <v>54</v>
      </c>
      <c r="B19" s="45" t="s">
        <v>55</v>
      </c>
      <c r="C19" s="40">
        <v>7940854</v>
      </c>
      <c r="D19" s="40" t="s">
        <v>56</v>
      </c>
      <c r="E19" s="46"/>
      <c r="F19" s="41" t="s">
        <v>41</v>
      </c>
      <c r="G19" s="40" t="s">
        <v>42</v>
      </c>
      <c r="H19" s="40" t="s">
        <v>57</v>
      </c>
      <c r="I19" s="42">
        <v>11000</v>
      </c>
      <c r="J19" s="42">
        <v>11000</v>
      </c>
      <c r="K19" s="42">
        <f t="shared" si="3"/>
        <v>5800</v>
      </c>
      <c r="L19" s="42">
        <v>5800</v>
      </c>
      <c r="M19" s="42">
        <v>2904</v>
      </c>
      <c r="N19" s="42">
        <v>2904</v>
      </c>
      <c r="O19" s="42">
        <f>P19</f>
        <v>3500</v>
      </c>
      <c r="P19" s="42">
        <v>3500</v>
      </c>
      <c r="Q19" s="42">
        <f>R19</f>
        <v>3500</v>
      </c>
      <c r="R19" s="42">
        <v>3500</v>
      </c>
      <c r="S19" s="42">
        <f>5800+471</f>
        <v>6271</v>
      </c>
      <c r="T19" s="42">
        <f>5800+471</f>
        <v>6271</v>
      </c>
      <c r="U19" s="47">
        <f>W19+X19+Y19</f>
        <v>0</v>
      </c>
      <c r="V19" s="42">
        <v>11000</v>
      </c>
      <c r="W19" s="42"/>
      <c r="X19" s="42"/>
      <c r="Y19" s="42"/>
      <c r="Z19" s="48"/>
      <c r="AA19" s="42">
        <f>5800+471</f>
        <v>6271</v>
      </c>
      <c r="AB19" s="48"/>
      <c r="AC19" s="48"/>
      <c r="AD19" s="49"/>
      <c r="AE19" s="42">
        <f t="shared" si="4"/>
        <v>4729</v>
      </c>
      <c r="AF19" s="42">
        <f t="shared" si="5"/>
        <v>4729</v>
      </c>
      <c r="AG19" s="48"/>
      <c r="AH19" s="48"/>
      <c r="AI19" s="42">
        <f t="shared" si="6"/>
        <v>4000</v>
      </c>
      <c r="AJ19" s="42">
        <v>4000</v>
      </c>
      <c r="AK19" s="42"/>
      <c r="AL19" s="42"/>
      <c r="AM19" s="42"/>
      <c r="AN19" s="28" t="s">
        <v>44</v>
      </c>
      <c r="AO19" s="20">
        <f t="shared" si="7"/>
        <v>3800</v>
      </c>
    </row>
    <row r="20" spans="1:42" x14ac:dyDescent="0.25">
      <c r="A20" s="22" t="s">
        <v>58</v>
      </c>
      <c r="B20" s="23" t="s">
        <v>59</v>
      </c>
      <c r="C20" s="24"/>
      <c r="D20" s="24"/>
      <c r="E20" s="25"/>
      <c r="F20" s="25"/>
      <c r="G20" s="26"/>
      <c r="H20" s="26"/>
      <c r="I20" s="27">
        <f>SUM(I21)</f>
        <v>66397</v>
      </c>
      <c r="J20" s="27">
        <f t="shared" ref="J20:AM20" si="8">SUM(J21)</f>
        <v>66397</v>
      </c>
      <c r="K20" s="27">
        <f t="shared" si="8"/>
        <v>4000</v>
      </c>
      <c r="L20" s="27">
        <f t="shared" si="8"/>
        <v>4000</v>
      </c>
      <c r="M20" s="27">
        <f t="shared" si="8"/>
        <v>57</v>
      </c>
      <c r="N20" s="27">
        <f t="shared" si="8"/>
        <v>57</v>
      </c>
      <c r="O20" s="27">
        <f t="shared" si="8"/>
        <v>2400</v>
      </c>
      <c r="P20" s="27">
        <f t="shared" si="8"/>
        <v>2400</v>
      </c>
      <c r="Q20" s="27">
        <f t="shared" si="8"/>
        <v>16500</v>
      </c>
      <c r="R20" s="27">
        <f t="shared" si="8"/>
        <v>16500</v>
      </c>
      <c r="S20" s="27">
        <f t="shared" si="8"/>
        <v>47699</v>
      </c>
      <c r="T20" s="27">
        <f t="shared" si="8"/>
        <v>47699</v>
      </c>
      <c r="U20" s="27">
        <f t="shared" si="8"/>
        <v>0</v>
      </c>
      <c r="V20" s="27">
        <f t="shared" si="8"/>
        <v>65797</v>
      </c>
      <c r="W20" s="27">
        <f t="shared" si="8"/>
        <v>0</v>
      </c>
      <c r="X20" s="27">
        <f t="shared" si="8"/>
        <v>0</v>
      </c>
      <c r="Y20" s="27">
        <f t="shared" si="8"/>
        <v>0</v>
      </c>
      <c r="Z20" s="27">
        <f t="shared" si="8"/>
        <v>0</v>
      </c>
      <c r="AA20" s="27">
        <f t="shared" si="8"/>
        <v>47699</v>
      </c>
      <c r="AB20" s="27">
        <f t="shared" si="8"/>
        <v>0</v>
      </c>
      <c r="AC20" s="27">
        <f t="shared" si="8"/>
        <v>0</v>
      </c>
      <c r="AD20" s="27">
        <f t="shared" si="8"/>
        <v>0</v>
      </c>
      <c r="AE20" s="27">
        <f t="shared" si="8"/>
        <v>18098</v>
      </c>
      <c r="AF20" s="27">
        <f t="shared" si="8"/>
        <v>18098</v>
      </c>
      <c r="AG20" s="27">
        <f t="shared" si="8"/>
        <v>0</v>
      </c>
      <c r="AH20" s="27">
        <f t="shared" si="8"/>
        <v>0</v>
      </c>
      <c r="AI20" s="27">
        <f t="shared" si="8"/>
        <v>10000</v>
      </c>
      <c r="AJ20" s="27">
        <f t="shared" si="8"/>
        <v>8239</v>
      </c>
      <c r="AK20" s="27">
        <f t="shared" si="8"/>
        <v>1761</v>
      </c>
      <c r="AL20" s="27">
        <f t="shared" si="8"/>
        <v>0</v>
      </c>
      <c r="AM20" s="27">
        <f t="shared" si="8"/>
        <v>0</v>
      </c>
      <c r="AN20" s="28"/>
      <c r="AO20" s="20">
        <f t="shared" si="1"/>
        <v>11500</v>
      </c>
    </row>
    <row r="21" spans="1:42" s="36" customFormat="1" x14ac:dyDescent="0.25">
      <c r="A21" s="29"/>
      <c r="B21" s="30" t="s">
        <v>60</v>
      </c>
      <c r="C21" s="31"/>
      <c r="D21" s="32"/>
      <c r="E21" s="33"/>
      <c r="F21" s="33"/>
      <c r="G21" s="32"/>
      <c r="H21" s="32"/>
      <c r="I21" s="34">
        <f>SUM(I22:I22)</f>
        <v>66397</v>
      </c>
      <c r="J21" s="34">
        <f t="shared" ref="J21:AM21" si="9">SUM(J22:J22)</f>
        <v>66397</v>
      </c>
      <c r="K21" s="34">
        <f t="shared" si="9"/>
        <v>4000</v>
      </c>
      <c r="L21" s="34">
        <f t="shared" si="9"/>
        <v>4000</v>
      </c>
      <c r="M21" s="34">
        <f t="shared" si="9"/>
        <v>57</v>
      </c>
      <c r="N21" s="34">
        <f t="shared" si="9"/>
        <v>57</v>
      </c>
      <c r="O21" s="34">
        <f t="shared" si="9"/>
        <v>2400</v>
      </c>
      <c r="P21" s="34">
        <f t="shared" si="9"/>
        <v>2400</v>
      </c>
      <c r="Q21" s="34">
        <f t="shared" si="9"/>
        <v>16500</v>
      </c>
      <c r="R21" s="34">
        <f t="shared" si="9"/>
        <v>16500</v>
      </c>
      <c r="S21" s="34">
        <f t="shared" si="9"/>
        <v>47699</v>
      </c>
      <c r="T21" s="34">
        <f t="shared" si="9"/>
        <v>47699</v>
      </c>
      <c r="U21" s="34">
        <f t="shared" si="9"/>
        <v>0</v>
      </c>
      <c r="V21" s="34">
        <f t="shared" si="9"/>
        <v>65797</v>
      </c>
      <c r="W21" s="34">
        <f t="shared" si="9"/>
        <v>0</v>
      </c>
      <c r="X21" s="34">
        <f t="shared" si="9"/>
        <v>0</v>
      </c>
      <c r="Y21" s="34">
        <f t="shared" si="9"/>
        <v>0</v>
      </c>
      <c r="Z21" s="34">
        <f t="shared" si="9"/>
        <v>0</v>
      </c>
      <c r="AA21" s="34">
        <f t="shared" si="9"/>
        <v>47699</v>
      </c>
      <c r="AB21" s="34">
        <f t="shared" si="9"/>
        <v>0</v>
      </c>
      <c r="AC21" s="34">
        <f t="shared" si="9"/>
        <v>0</v>
      </c>
      <c r="AD21" s="34">
        <f t="shared" si="9"/>
        <v>0</v>
      </c>
      <c r="AE21" s="34">
        <f t="shared" si="9"/>
        <v>18098</v>
      </c>
      <c r="AF21" s="34">
        <f t="shared" si="9"/>
        <v>18098</v>
      </c>
      <c r="AG21" s="34">
        <f t="shared" si="9"/>
        <v>0</v>
      </c>
      <c r="AH21" s="34">
        <f t="shared" si="9"/>
        <v>0</v>
      </c>
      <c r="AI21" s="34">
        <f t="shared" si="9"/>
        <v>10000</v>
      </c>
      <c r="AJ21" s="34">
        <f t="shared" si="9"/>
        <v>8239</v>
      </c>
      <c r="AK21" s="34">
        <f t="shared" si="9"/>
        <v>1761</v>
      </c>
      <c r="AL21" s="34">
        <f t="shared" si="9"/>
        <v>0</v>
      </c>
      <c r="AM21" s="34">
        <f t="shared" si="9"/>
        <v>0</v>
      </c>
      <c r="AN21" s="35"/>
      <c r="AO21" s="20">
        <f t="shared" si="1"/>
        <v>11500</v>
      </c>
    </row>
    <row r="22" spans="1:42" s="36" customFormat="1" ht="33.75" x14ac:dyDescent="0.25">
      <c r="A22" s="37" t="s">
        <v>38</v>
      </c>
      <c r="B22" s="51" t="s">
        <v>61</v>
      </c>
      <c r="C22" s="52">
        <v>7800115</v>
      </c>
      <c r="D22" s="40" t="s">
        <v>62</v>
      </c>
      <c r="E22" s="33"/>
      <c r="F22" s="41" t="s">
        <v>63</v>
      </c>
      <c r="G22" s="39" t="s">
        <v>64</v>
      </c>
      <c r="H22" s="39" t="s">
        <v>65</v>
      </c>
      <c r="I22" s="43">
        <v>66397</v>
      </c>
      <c r="J22" s="43">
        <v>66397</v>
      </c>
      <c r="K22" s="42">
        <f t="shared" si="3"/>
        <v>4000</v>
      </c>
      <c r="L22" s="43">
        <v>4000</v>
      </c>
      <c r="M22" s="43">
        <v>57</v>
      </c>
      <c r="N22" s="43">
        <v>57</v>
      </c>
      <c r="O22" s="42">
        <f>P22</f>
        <v>2400</v>
      </c>
      <c r="P22" s="42">
        <f>L22*0.6</f>
        <v>2400</v>
      </c>
      <c r="Q22" s="42">
        <f>R22</f>
        <v>16500</v>
      </c>
      <c r="R22" s="43">
        <v>16500</v>
      </c>
      <c r="S22" s="44">
        <f>25499+16500+18200-12500</f>
        <v>47699</v>
      </c>
      <c r="T22" s="44">
        <f>25499+16500+18200-12500</f>
        <v>47699</v>
      </c>
      <c r="U22" s="43"/>
      <c r="V22" s="43">
        <v>65797</v>
      </c>
      <c r="W22" s="43"/>
      <c r="X22" s="43"/>
      <c r="Y22" s="43"/>
      <c r="Z22" s="43"/>
      <c r="AA22" s="44">
        <f>25499+16500+18200-12500</f>
        <v>47699</v>
      </c>
      <c r="AB22" s="43"/>
      <c r="AC22" s="43"/>
      <c r="AD22" s="43"/>
      <c r="AE22" s="42">
        <f t="shared" si="4"/>
        <v>18098</v>
      </c>
      <c r="AF22" s="42">
        <f t="shared" si="5"/>
        <v>18098</v>
      </c>
      <c r="AG22" s="43"/>
      <c r="AH22" s="43"/>
      <c r="AI22" s="42">
        <f t="shared" si="6"/>
        <v>10000</v>
      </c>
      <c r="AJ22" s="42">
        <f>7500+739</f>
        <v>8239</v>
      </c>
      <c r="AK22" s="42">
        <f>2500-739</f>
        <v>1761</v>
      </c>
      <c r="AL22" s="42"/>
      <c r="AM22" s="42"/>
      <c r="AN22" s="28" t="s">
        <v>44</v>
      </c>
      <c r="AO22" s="20">
        <f t="shared" si="1"/>
        <v>11500</v>
      </c>
    </row>
    <row r="23" spans="1:42" ht="32.25" customHeight="1" x14ac:dyDescent="0.25">
      <c r="A23" s="22" t="s">
        <v>66</v>
      </c>
      <c r="B23" s="23" t="s">
        <v>67</v>
      </c>
      <c r="C23" s="24"/>
      <c r="D23" s="24"/>
      <c r="E23" s="25"/>
      <c r="F23" s="25"/>
      <c r="G23" s="26"/>
      <c r="H23" s="26"/>
      <c r="I23" s="27">
        <f>I24</f>
        <v>191921</v>
      </c>
      <c r="J23" s="27">
        <f t="shared" ref="J23:AM23" si="10">J24</f>
        <v>191921</v>
      </c>
      <c r="K23" s="27">
        <f t="shared" si="10"/>
        <v>35500</v>
      </c>
      <c r="L23" s="27">
        <f t="shared" si="10"/>
        <v>35500</v>
      </c>
      <c r="M23" s="27">
        <f t="shared" si="10"/>
        <v>7061</v>
      </c>
      <c r="N23" s="27">
        <f t="shared" si="10"/>
        <v>7061</v>
      </c>
      <c r="O23" s="27">
        <f t="shared" si="10"/>
        <v>21300</v>
      </c>
      <c r="P23" s="27">
        <f t="shared" si="10"/>
        <v>21300</v>
      </c>
      <c r="Q23" s="27">
        <f t="shared" si="10"/>
        <v>50500</v>
      </c>
      <c r="R23" s="27">
        <f t="shared" si="10"/>
        <v>50500</v>
      </c>
      <c r="S23" s="27">
        <f t="shared" si="10"/>
        <v>159676</v>
      </c>
      <c r="T23" s="27">
        <f t="shared" si="10"/>
        <v>159676</v>
      </c>
      <c r="U23" s="27">
        <f t="shared" si="10"/>
        <v>0</v>
      </c>
      <c r="V23" s="27">
        <f t="shared" si="10"/>
        <v>156921</v>
      </c>
      <c r="W23" s="27">
        <f t="shared" si="10"/>
        <v>0</v>
      </c>
      <c r="X23" s="27">
        <f t="shared" si="10"/>
        <v>0</v>
      </c>
      <c r="Y23" s="27">
        <f t="shared" si="10"/>
        <v>0</v>
      </c>
      <c r="Z23" s="27">
        <f t="shared" si="10"/>
        <v>0</v>
      </c>
      <c r="AA23" s="27">
        <f t="shared" si="10"/>
        <v>124676</v>
      </c>
      <c r="AB23" s="27">
        <f t="shared" si="10"/>
        <v>0</v>
      </c>
      <c r="AC23" s="27">
        <f t="shared" si="10"/>
        <v>0</v>
      </c>
      <c r="AD23" s="27">
        <f t="shared" si="10"/>
        <v>0</v>
      </c>
      <c r="AE23" s="27">
        <f t="shared" si="10"/>
        <v>32245</v>
      </c>
      <c r="AF23" s="27">
        <f t="shared" si="10"/>
        <v>32245</v>
      </c>
      <c r="AG23" s="27">
        <f t="shared" si="10"/>
        <v>0</v>
      </c>
      <c r="AH23" s="27">
        <f t="shared" si="10"/>
        <v>0</v>
      </c>
      <c r="AI23" s="27">
        <f t="shared" si="10"/>
        <v>24500</v>
      </c>
      <c r="AJ23" s="27">
        <f t="shared" si="10"/>
        <v>0</v>
      </c>
      <c r="AK23" s="27">
        <f t="shared" si="10"/>
        <v>8686</v>
      </c>
      <c r="AL23" s="27">
        <f t="shared" si="10"/>
        <v>15814</v>
      </c>
      <c r="AM23" s="27">
        <f t="shared" si="10"/>
        <v>0</v>
      </c>
      <c r="AN23" s="28"/>
      <c r="AO23" s="20">
        <f t="shared" si="1"/>
        <v>16600</v>
      </c>
    </row>
    <row r="24" spans="1:42" s="36" customFormat="1" x14ac:dyDescent="0.25">
      <c r="A24" s="29"/>
      <c r="B24" s="30" t="s">
        <v>37</v>
      </c>
      <c r="C24" s="31"/>
      <c r="D24" s="53"/>
      <c r="E24" s="33"/>
      <c r="F24" s="33"/>
      <c r="G24" s="32"/>
      <c r="H24" s="32"/>
      <c r="I24" s="34">
        <f>SUM(I25:I26)</f>
        <v>191921</v>
      </c>
      <c r="J24" s="34">
        <f t="shared" ref="J24:AM24" si="11">SUM(J25:J26)</f>
        <v>191921</v>
      </c>
      <c r="K24" s="34">
        <f t="shared" si="11"/>
        <v>35500</v>
      </c>
      <c r="L24" s="34">
        <f t="shared" si="11"/>
        <v>35500</v>
      </c>
      <c r="M24" s="34">
        <f t="shared" si="11"/>
        <v>7061</v>
      </c>
      <c r="N24" s="34">
        <f t="shared" si="11"/>
        <v>7061</v>
      </c>
      <c r="O24" s="34">
        <f t="shared" si="11"/>
        <v>21300</v>
      </c>
      <c r="P24" s="34">
        <f t="shared" si="11"/>
        <v>21300</v>
      </c>
      <c r="Q24" s="34">
        <f t="shared" si="11"/>
        <v>50500</v>
      </c>
      <c r="R24" s="34">
        <f t="shared" si="11"/>
        <v>50500</v>
      </c>
      <c r="S24" s="34">
        <f t="shared" si="11"/>
        <v>159676</v>
      </c>
      <c r="T24" s="34">
        <f t="shared" si="11"/>
        <v>159676</v>
      </c>
      <c r="U24" s="34">
        <f t="shared" si="11"/>
        <v>0</v>
      </c>
      <c r="V24" s="34">
        <f t="shared" si="11"/>
        <v>156921</v>
      </c>
      <c r="W24" s="34">
        <f t="shared" si="11"/>
        <v>0</v>
      </c>
      <c r="X24" s="34">
        <f t="shared" si="11"/>
        <v>0</v>
      </c>
      <c r="Y24" s="34">
        <f t="shared" si="11"/>
        <v>0</v>
      </c>
      <c r="Z24" s="34">
        <f t="shared" si="11"/>
        <v>0</v>
      </c>
      <c r="AA24" s="34">
        <f t="shared" si="11"/>
        <v>124676</v>
      </c>
      <c r="AB24" s="34">
        <f t="shared" si="11"/>
        <v>0</v>
      </c>
      <c r="AC24" s="34">
        <f t="shared" si="11"/>
        <v>0</v>
      </c>
      <c r="AD24" s="34">
        <f t="shared" si="11"/>
        <v>0</v>
      </c>
      <c r="AE24" s="34">
        <f t="shared" si="11"/>
        <v>32245</v>
      </c>
      <c r="AF24" s="34">
        <f t="shared" si="11"/>
        <v>32245</v>
      </c>
      <c r="AG24" s="34">
        <f t="shared" si="11"/>
        <v>0</v>
      </c>
      <c r="AH24" s="34">
        <f t="shared" si="11"/>
        <v>0</v>
      </c>
      <c r="AI24" s="34">
        <f t="shared" si="11"/>
        <v>24500</v>
      </c>
      <c r="AJ24" s="34">
        <f t="shared" si="11"/>
        <v>0</v>
      </c>
      <c r="AK24" s="34">
        <f t="shared" si="11"/>
        <v>8686</v>
      </c>
      <c r="AL24" s="34">
        <f t="shared" si="11"/>
        <v>15814</v>
      </c>
      <c r="AM24" s="34">
        <f t="shared" si="11"/>
        <v>0</v>
      </c>
      <c r="AN24" s="35"/>
      <c r="AO24" s="20">
        <f t="shared" si="1"/>
        <v>16600</v>
      </c>
    </row>
    <row r="25" spans="1:42" s="55" customFormat="1" ht="44.25" customHeight="1" x14ac:dyDescent="0.25">
      <c r="A25" s="37">
        <v>1</v>
      </c>
      <c r="B25" s="51" t="s">
        <v>68</v>
      </c>
      <c r="C25" s="39">
        <v>7787661</v>
      </c>
      <c r="D25" s="40" t="s">
        <v>40</v>
      </c>
      <c r="E25" s="54"/>
      <c r="F25" s="41" t="s">
        <v>63</v>
      </c>
      <c r="G25" s="40" t="s">
        <v>42</v>
      </c>
      <c r="H25" s="52" t="s">
        <v>69</v>
      </c>
      <c r="I25" s="42">
        <v>166921</v>
      </c>
      <c r="J25" s="42">
        <v>166921</v>
      </c>
      <c r="K25" s="42">
        <f t="shared" si="3"/>
        <v>28000</v>
      </c>
      <c r="L25" s="42">
        <v>28000</v>
      </c>
      <c r="M25" s="42">
        <v>3745</v>
      </c>
      <c r="N25" s="42">
        <v>3745</v>
      </c>
      <c r="O25" s="42">
        <f>P25</f>
        <v>16800</v>
      </c>
      <c r="P25" s="42">
        <f>L25*0.6</f>
        <v>16800</v>
      </c>
      <c r="Q25" s="42">
        <f>R25</f>
        <v>43000</v>
      </c>
      <c r="R25" s="42">
        <v>43000</v>
      </c>
      <c r="S25" s="42">
        <f>T25</f>
        <v>147176</v>
      </c>
      <c r="T25" s="42">
        <f>166921-81921+34176+28000</f>
        <v>147176</v>
      </c>
      <c r="U25" s="42"/>
      <c r="V25" s="44">
        <v>131921</v>
      </c>
      <c r="W25" s="42"/>
      <c r="X25" s="42"/>
      <c r="Y25" s="42"/>
      <c r="Z25" s="42"/>
      <c r="AA25" s="44">
        <v>112176</v>
      </c>
      <c r="AB25" s="42"/>
      <c r="AC25" s="42"/>
      <c r="AD25" s="42"/>
      <c r="AE25" s="42">
        <f t="shared" si="4"/>
        <v>19745</v>
      </c>
      <c r="AF25" s="42">
        <f t="shared" si="5"/>
        <v>19745</v>
      </c>
      <c r="AG25" s="42"/>
      <c r="AH25" s="42"/>
      <c r="AI25" s="42">
        <f t="shared" si="6"/>
        <v>14000</v>
      </c>
      <c r="AJ25" s="42"/>
      <c r="AK25" s="42"/>
      <c r="AL25" s="42">
        <v>14000</v>
      </c>
      <c r="AM25" s="42"/>
      <c r="AN25" s="28" t="s">
        <v>44</v>
      </c>
      <c r="AO25" s="20">
        <f>ROUND(V25*0.95-AA25,-2)</f>
        <v>13100</v>
      </c>
    </row>
    <row r="26" spans="1:42" s="55" customFormat="1" ht="51" x14ac:dyDescent="0.25">
      <c r="A26" s="37" t="s">
        <v>45</v>
      </c>
      <c r="B26" s="45" t="s">
        <v>70</v>
      </c>
      <c r="C26" s="39">
        <v>7940845</v>
      </c>
      <c r="D26" s="40" t="s">
        <v>40</v>
      </c>
      <c r="E26" s="54"/>
      <c r="F26" s="41" t="s">
        <v>41</v>
      </c>
      <c r="G26" s="40" t="s">
        <v>42</v>
      </c>
      <c r="H26" s="56" t="s">
        <v>71</v>
      </c>
      <c r="I26" s="57">
        <v>25000</v>
      </c>
      <c r="J26" s="57">
        <v>25000</v>
      </c>
      <c r="K26" s="42">
        <f t="shared" si="3"/>
        <v>7500</v>
      </c>
      <c r="L26" s="42">
        <v>7500</v>
      </c>
      <c r="M26" s="42">
        <v>3316</v>
      </c>
      <c r="N26" s="42">
        <v>3316</v>
      </c>
      <c r="O26" s="42">
        <f>P26</f>
        <v>4500</v>
      </c>
      <c r="P26" s="42">
        <f>L26*0.6</f>
        <v>4500</v>
      </c>
      <c r="Q26" s="42">
        <f>R26</f>
        <v>7500</v>
      </c>
      <c r="R26" s="42">
        <v>7500</v>
      </c>
      <c r="S26" s="42">
        <v>12500</v>
      </c>
      <c r="T26" s="42">
        <v>12500</v>
      </c>
      <c r="U26" s="42"/>
      <c r="V26" s="57">
        <v>25000</v>
      </c>
      <c r="W26" s="42"/>
      <c r="X26" s="42"/>
      <c r="Y26" s="42"/>
      <c r="Z26" s="42"/>
      <c r="AA26" s="42">
        <v>12500</v>
      </c>
      <c r="AB26" s="42"/>
      <c r="AC26" s="42"/>
      <c r="AD26" s="42"/>
      <c r="AE26" s="42">
        <f t="shared" si="4"/>
        <v>12500</v>
      </c>
      <c r="AF26" s="42">
        <f t="shared" si="5"/>
        <v>12500</v>
      </c>
      <c r="AG26" s="42"/>
      <c r="AH26" s="42"/>
      <c r="AI26" s="42">
        <f t="shared" si="6"/>
        <v>10500</v>
      </c>
      <c r="AJ26" s="42"/>
      <c r="AK26" s="42">
        <v>8686</v>
      </c>
      <c r="AL26" s="42">
        <f>814+1000</f>
        <v>1814</v>
      </c>
      <c r="AM26" s="42"/>
      <c r="AN26" s="28" t="s">
        <v>44</v>
      </c>
      <c r="AO26" s="20">
        <f>ROUND(V26*0.92-AA26,-2)</f>
        <v>10500</v>
      </c>
      <c r="AP26" s="55">
        <f>10500-AL26</f>
        <v>8686</v>
      </c>
    </row>
    <row r="27" spans="1:42" ht="27.75" customHeight="1" x14ac:dyDescent="0.25">
      <c r="A27" s="22" t="s">
        <v>72</v>
      </c>
      <c r="B27" s="23" t="s">
        <v>73</v>
      </c>
      <c r="C27" s="24"/>
      <c r="D27" s="24"/>
      <c r="E27" s="25"/>
      <c r="F27" s="25"/>
      <c r="G27" s="26"/>
      <c r="H27" s="26"/>
      <c r="I27" s="27">
        <f>I28</f>
        <v>29762</v>
      </c>
      <c r="J27" s="27">
        <f t="shared" ref="J27:AM27" si="12">J28</f>
        <v>29762</v>
      </c>
      <c r="K27" s="27">
        <f t="shared" si="12"/>
        <v>9000</v>
      </c>
      <c r="L27" s="27">
        <f t="shared" si="12"/>
        <v>9000</v>
      </c>
      <c r="M27" s="27">
        <f t="shared" si="12"/>
        <v>6104</v>
      </c>
      <c r="N27" s="27">
        <f t="shared" si="12"/>
        <v>6104</v>
      </c>
      <c r="O27" s="27">
        <f t="shared" si="12"/>
        <v>9000</v>
      </c>
      <c r="P27" s="27">
        <f t="shared" si="12"/>
        <v>9000</v>
      </c>
      <c r="Q27" s="27">
        <f t="shared" si="12"/>
        <v>9000</v>
      </c>
      <c r="R27" s="27">
        <f t="shared" si="12"/>
        <v>9000</v>
      </c>
      <c r="S27" s="27">
        <f t="shared" si="12"/>
        <v>15000</v>
      </c>
      <c r="T27" s="27">
        <f t="shared" si="12"/>
        <v>15000</v>
      </c>
      <c r="U27" s="27">
        <f t="shared" si="12"/>
        <v>0</v>
      </c>
      <c r="V27" s="27">
        <f t="shared" si="12"/>
        <v>29762</v>
      </c>
      <c r="W27" s="27">
        <f t="shared" si="12"/>
        <v>0</v>
      </c>
      <c r="X27" s="27">
        <f t="shared" si="12"/>
        <v>0</v>
      </c>
      <c r="Y27" s="27">
        <f t="shared" si="12"/>
        <v>0</v>
      </c>
      <c r="Z27" s="27">
        <f t="shared" si="12"/>
        <v>0</v>
      </c>
      <c r="AA27" s="27">
        <f t="shared" si="12"/>
        <v>15000</v>
      </c>
      <c r="AB27" s="27">
        <f t="shared" si="12"/>
        <v>0</v>
      </c>
      <c r="AC27" s="27">
        <f t="shared" si="12"/>
        <v>0</v>
      </c>
      <c r="AD27" s="27">
        <f t="shared" si="12"/>
        <v>0</v>
      </c>
      <c r="AE27" s="27">
        <f t="shared" si="12"/>
        <v>14762</v>
      </c>
      <c r="AF27" s="27">
        <f t="shared" si="12"/>
        <v>14762</v>
      </c>
      <c r="AG27" s="27">
        <f t="shared" si="12"/>
        <v>0</v>
      </c>
      <c r="AH27" s="27">
        <f t="shared" si="12"/>
        <v>0</v>
      </c>
      <c r="AI27" s="27">
        <f t="shared" si="12"/>
        <v>13300</v>
      </c>
      <c r="AJ27" s="27">
        <f t="shared" si="12"/>
        <v>6100</v>
      </c>
      <c r="AK27" s="27">
        <f t="shared" si="12"/>
        <v>7200</v>
      </c>
      <c r="AL27" s="27">
        <f t="shared" si="12"/>
        <v>0</v>
      </c>
      <c r="AM27" s="27">
        <f t="shared" si="12"/>
        <v>0</v>
      </c>
      <c r="AN27" s="28"/>
      <c r="AO27" s="20">
        <f t="shared" si="1"/>
        <v>11800</v>
      </c>
    </row>
    <row r="28" spans="1:42" s="36" customFormat="1" ht="24.75" customHeight="1" x14ac:dyDescent="0.25">
      <c r="A28" s="29"/>
      <c r="B28" s="30" t="s">
        <v>37</v>
      </c>
      <c r="C28" s="31"/>
      <c r="D28" s="32"/>
      <c r="E28" s="33"/>
      <c r="F28" s="33"/>
      <c r="G28" s="32"/>
      <c r="H28" s="32"/>
      <c r="I28" s="34">
        <f>SUM(I29:I30)</f>
        <v>29762</v>
      </c>
      <c r="J28" s="34">
        <f t="shared" ref="J28:AM28" si="13">SUM(J29:J30)</f>
        <v>29762</v>
      </c>
      <c r="K28" s="34">
        <f t="shared" si="13"/>
        <v>9000</v>
      </c>
      <c r="L28" s="34">
        <f t="shared" si="13"/>
        <v>9000</v>
      </c>
      <c r="M28" s="34">
        <f t="shared" si="13"/>
        <v>6104</v>
      </c>
      <c r="N28" s="34">
        <f t="shared" si="13"/>
        <v>6104</v>
      </c>
      <c r="O28" s="34">
        <f t="shared" si="13"/>
        <v>9000</v>
      </c>
      <c r="P28" s="34">
        <f t="shared" si="13"/>
        <v>9000</v>
      </c>
      <c r="Q28" s="34">
        <f t="shared" si="13"/>
        <v>9000</v>
      </c>
      <c r="R28" s="34">
        <f t="shared" si="13"/>
        <v>9000</v>
      </c>
      <c r="S28" s="34">
        <f t="shared" si="13"/>
        <v>15000</v>
      </c>
      <c r="T28" s="34">
        <f t="shared" si="13"/>
        <v>15000</v>
      </c>
      <c r="U28" s="34">
        <f t="shared" si="13"/>
        <v>0</v>
      </c>
      <c r="V28" s="34">
        <f t="shared" si="13"/>
        <v>29762</v>
      </c>
      <c r="W28" s="34">
        <f t="shared" si="13"/>
        <v>0</v>
      </c>
      <c r="X28" s="34">
        <f t="shared" si="13"/>
        <v>0</v>
      </c>
      <c r="Y28" s="34">
        <f t="shared" si="13"/>
        <v>0</v>
      </c>
      <c r="Z28" s="34">
        <f t="shared" si="13"/>
        <v>0</v>
      </c>
      <c r="AA28" s="34">
        <f t="shared" si="13"/>
        <v>15000</v>
      </c>
      <c r="AB28" s="34">
        <f t="shared" si="13"/>
        <v>0</v>
      </c>
      <c r="AC28" s="34">
        <f t="shared" si="13"/>
        <v>0</v>
      </c>
      <c r="AD28" s="34">
        <f t="shared" si="13"/>
        <v>0</v>
      </c>
      <c r="AE28" s="34">
        <f t="shared" si="13"/>
        <v>14762</v>
      </c>
      <c r="AF28" s="34">
        <f t="shared" si="13"/>
        <v>14762</v>
      </c>
      <c r="AG28" s="34">
        <f t="shared" si="13"/>
        <v>0</v>
      </c>
      <c r="AH28" s="34">
        <f t="shared" si="13"/>
        <v>0</v>
      </c>
      <c r="AI28" s="34">
        <f t="shared" si="13"/>
        <v>13300</v>
      </c>
      <c r="AJ28" s="34">
        <f t="shared" si="13"/>
        <v>6100</v>
      </c>
      <c r="AK28" s="34">
        <f t="shared" si="13"/>
        <v>7200</v>
      </c>
      <c r="AL28" s="34">
        <f t="shared" si="13"/>
        <v>0</v>
      </c>
      <c r="AM28" s="34">
        <f t="shared" si="13"/>
        <v>0</v>
      </c>
      <c r="AN28" s="35"/>
      <c r="AO28" s="20">
        <f t="shared" si="1"/>
        <v>11800</v>
      </c>
    </row>
    <row r="29" spans="1:42" s="36" customFormat="1" ht="51" x14ac:dyDescent="0.25">
      <c r="A29" s="37" t="s">
        <v>38</v>
      </c>
      <c r="B29" s="45" t="s">
        <v>74</v>
      </c>
      <c r="C29" s="40">
        <v>7940856</v>
      </c>
      <c r="D29" s="40" t="s">
        <v>40</v>
      </c>
      <c r="E29" s="33"/>
      <c r="F29" s="41" t="s">
        <v>41</v>
      </c>
      <c r="G29" s="40" t="s">
        <v>42</v>
      </c>
      <c r="H29" s="56" t="s">
        <v>75</v>
      </c>
      <c r="I29" s="58">
        <v>16000</v>
      </c>
      <c r="J29" s="58">
        <v>16000</v>
      </c>
      <c r="K29" s="42">
        <f t="shared" si="3"/>
        <v>5000</v>
      </c>
      <c r="L29" s="43">
        <v>5000</v>
      </c>
      <c r="M29" s="42">
        <f>N29</f>
        <v>5000</v>
      </c>
      <c r="N29" s="43">
        <v>5000</v>
      </c>
      <c r="O29" s="42">
        <f>P29</f>
        <v>5000</v>
      </c>
      <c r="P29" s="43">
        <v>5000</v>
      </c>
      <c r="Q29" s="42">
        <f>R29</f>
        <v>5000</v>
      </c>
      <c r="R29" s="43">
        <v>5000</v>
      </c>
      <c r="S29" s="43">
        <v>8000</v>
      </c>
      <c r="T29" s="43">
        <v>8000</v>
      </c>
      <c r="U29" s="59"/>
      <c r="V29" s="58">
        <v>16000</v>
      </c>
      <c r="W29" s="60"/>
      <c r="X29" s="59"/>
      <c r="Y29" s="59"/>
      <c r="Z29" s="59"/>
      <c r="AA29" s="43">
        <v>8000</v>
      </c>
      <c r="AB29" s="59"/>
      <c r="AC29" s="59"/>
      <c r="AD29" s="59"/>
      <c r="AE29" s="42">
        <f t="shared" si="4"/>
        <v>8000</v>
      </c>
      <c r="AF29" s="42">
        <f t="shared" si="5"/>
        <v>8000</v>
      </c>
      <c r="AG29" s="59"/>
      <c r="AH29" s="59"/>
      <c r="AI29" s="42">
        <f t="shared" si="6"/>
        <v>7200</v>
      </c>
      <c r="AJ29" s="42"/>
      <c r="AK29" s="42">
        <v>7200</v>
      </c>
      <c r="AL29" s="42"/>
      <c r="AM29" s="42"/>
      <c r="AN29" s="28" t="s">
        <v>44</v>
      </c>
      <c r="AO29" s="20">
        <f>ROUND(V29*0.95-AA29,-2)</f>
        <v>7200</v>
      </c>
    </row>
    <row r="30" spans="1:42" s="64" customFormat="1" ht="33.75" x14ac:dyDescent="0.25">
      <c r="A30" s="46">
        <v>2</v>
      </c>
      <c r="B30" s="51" t="s">
        <v>76</v>
      </c>
      <c r="C30" s="52">
        <v>7948683</v>
      </c>
      <c r="D30" s="40" t="s">
        <v>40</v>
      </c>
      <c r="E30" s="61"/>
      <c r="F30" s="41" t="s">
        <v>41</v>
      </c>
      <c r="G30" s="39" t="s">
        <v>77</v>
      </c>
      <c r="H30" s="40" t="s">
        <v>78</v>
      </c>
      <c r="I30" s="47">
        <v>13762</v>
      </c>
      <c r="J30" s="47">
        <v>13762</v>
      </c>
      <c r="K30" s="42">
        <f t="shared" si="3"/>
        <v>4000</v>
      </c>
      <c r="L30" s="62">
        <v>4000</v>
      </c>
      <c r="M30" s="62">
        <v>1104</v>
      </c>
      <c r="N30" s="62">
        <v>1104</v>
      </c>
      <c r="O30" s="42">
        <f>P30</f>
        <v>4000</v>
      </c>
      <c r="P30" s="62">
        <v>4000</v>
      </c>
      <c r="Q30" s="42">
        <f>R30</f>
        <v>4000</v>
      </c>
      <c r="R30" s="62">
        <v>4000</v>
      </c>
      <c r="S30" s="62">
        <v>7000</v>
      </c>
      <c r="T30" s="62">
        <v>7000</v>
      </c>
      <c r="U30" s="63"/>
      <c r="V30" s="47">
        <v>13762</v>
      </c>
      <c r="W30" s="63"/>
      <c r="X30" s="63"/>
      <c r="Y30" s="63"/>
      <c r="Z30" s="63"/>
      <c r="AA30" s="62">
        <v>7000</v>
      </c>
      <c r="AB30" s="63"/>
      <c r="AC30" s="63"/>
      <c r="AD30" s="63"/>
      <c r="AE30" s="42">
        <f t="shared" si="4"/>
        <v>6762</v>
      </c>
      <c r="AF30" s="42">
        <f t="shared" si="5"/>
        <v>6762</v>
      </c>
      <c r="AG30" s="34"/>
      <c r="AH30" s="34"/>
      <c r="AI30" s="42">
        <f t="shared" si="6"/>
        <v>6100</v>
      </c>
      <c r="AJ30" s="42">
        <v>6100</v>
      </c>
      <c r="AK30" s="42"/>
      <c r="AL30" s="42"/>
      <c r="AM30" s="42"/>
      <c r="AN30" s="28" t="s">
        <v>44</v>
      </c>
      <c r="AO30" s="20">
        <f>ROUND(V30*0.95-AA30,-2)</f>
        <v>6100</v>
      </c>
    </row>
    <row r="31" spans="1:42" ht="25.5" x14ac:dyDescent="0.25">
      <c r="A31" s="22" t="s">
        <v>79</v>
      </c>
      <c r="B31" s="23" t="s">
        <v>80</v>
      </c>
      <c r="C31" s="24"/>
      <c r="D31" s="24"/>
      <c r="E31" s="25"/>
      <c r="F31" s="25"/>
      <c r="G31" s="26"/>
      <c r="H31" s="26"/>
      <c r="I31" s="27">
        <f t="shared" ref="I31:AM31" si="14">+I32+I35</f>
        <v>1960315</v>
      </c>
      <c r="J31" s="27">
        <f t="shared" si="14"/>
        <v>952911</v>
      </c>
      <c r="K31" s="27">
        <f t="shared" si="14"/>
        <v>63340.565999999999</v>
      </c>
      <c r="L31" s="27">
        <f t="shared" si="14"/>
        <v>63340.565999999999</v>
      </c>
      <c r="M31" s="27">
        <f t="shared" si="14"/>
        <v>21901</v>
      </c>
      <c r="N31" s="27">
        <f t="shared" si="14"/>
        <v>21901</v>
      </c>
      <c r="O31" s="27">
        <f t="shared" si="14"/>
        <v>39281</v>
      </c>
      <c r="P31" s="27">
        <f t="shared" si="14"/>
        <v>39281</v>
      </c>
      <c r="Q31" s="27">
        <f t="shared" si="14"/>
        <v>230000</v>
      </c>
      <c r="R31" s="27">
        <f t="shared" si="14"/>
        <v>230000</v>
      </c>
      <c r="S31" s="27">
        <f t="shared" si="14"/>
        <v>484348.56599999999</v>
      </c>
      <c r="T31" s="27">
        <f t="shared" si="14"/>
        <v>484348.56599999999</v>
      </c>
      <c r="U31" s="27">
        <f t="shared" si="14"/>
        <v>0</v>
      </c>
      <c r="V31" s="27">
        <f t="shared" si="14"/>
        <v>875902</v>
      </c>
      <c r="W31" s="27">
        <f t="shared" si="14"/>
        <v>0</v>
      </c>
      <c r="X31" s="27">
        <f t="shared" si="14"/>
        <v>0</v>
      </c>
      <c r="Y31" s="27">
        <f t="shared" si="14"/>
        <v>0</v>
      </c>
      <c r="Z31" s="27">
        <f t="shared" si="14"/>
        <v>0</v>
      </c>
      <c r="AA31" s="27">
        <f t="shared" si="14"/>
        <v>430339.56599999999</v>
      </c>
      <c r="AB31" s="27">
        <f t="shared" si="14"/>
        <v>0</v>
      </c>
      <c r="AC31" s="27">
        <f t="shared" si="14"/>
        <v>0</v>
      </c>
      <c r="AD31" s="27">
        <f t="shared" si="14"/>
        <v>0</v>
      </c>
      <c r="AE31" s="27">
        <f t="shared" si="14"/>
        <v>444557</v>
      </c>
      <c r="AF31" s="27">
        <f t="shared" si="14"/>
        <v>444557</v>
      </c>
      <c r="AG31" s="27">
        <f t="shared" si="14"/>
        <v>0</v>
      </c>
      <c r="AH31" s="27">
        <f t="shared" si="14"/>
        <v>0</v>
      </c>
      <c r="AI31" s="27">
        <f t="shared" si="14"/>
        <v>298098</v>
      </c>
      <c r="AJ31" s="27">
        <f t="shared" si="14"/>
        <v>33098</v>
      </c>
      <c r="AK31" s="27">
        <f t="shared" si="14"/>
        <v>265000</v>
      </c>
      <c r="AL31" s="27">
        <f t="shared" si="14"/>
        <v>0</v>
      </c>
      <c r="AM31" s="27">
        <f t="shared" si="14"/>
        <v>0</v>
      </c>
      <c r="AN31" s="28"/>
      <c r="AO31" s="20">
        <f t="shared" si="1"/>
        <v>358000</v>
      </c>
    </row>
    <row r="32" spans="1:42" ht="29.25" customHeight="1" x14ac:dyDescent="0.25">
      <c r="A32" s="65" t="s">
        <v>81</v>
      </c>
      <c r="B32" s="30" t="s">
        <v>82</v>
      </c>
      <c r="C32" s="24"/>
      <c r="D32" s="53"/>
      <c r="E32" s="25"/>
      <c r="F32" s="25"/>
      <c r="G32" s="26"/>
      <c r="H32" s="53"/>
      <c r="I32" s="34">
        <f t="shared" ref="I32:AM32" si="15">SUM(I33:I34)</f>
        <v>43103</v>
      </c>
      <c r="J32" s="34">
        <f t="shared" si="15"/>
        <v>43103</v>
      </c>
      <c r="K32" s="34">
        <f t="shared" si="15"/>
        <v>5340.5659999999998</v>
      </c>
      <c r="L32" s="34">
        <f t="shared" si="15"/>
        <v>5340.5659999999998</v>
      </c>
      <c r="M32" s="34">
        <f t="shared" si="15"/>
        <v>296</v>
      </c>
      <c r="N32" s="34">
        <f t="shared" si="15"/>
        <v>296</v>
      </c>
      <c r="O32" s="34">
        <f t="shared" si="15"/>
        <v>3296</v>
      </c>
      <c r="P32" s="34">
        <f t="shared" si="15"/>
        <v>3296</v>
      </c>
      <c r="Q32" s="34">
        <f t="shared" si="15"/>
        <v>7000</v>
      </c>
      <c r="R32" s="34">
        <f t="shared" si="15"/>
        <v>7000</v>
      </c>
      <c r="S32" s="34">
        <f t="shared" si="15"/>
        <v>37076.565999999999</v>
      </c>
      <c r="T32" s="34">
        <f t="shared" si="15"/>
        <v>37076.565999999999</v>
      </c>
      <c r="U32" s="34">
        <f t="shared" si="15"/>
        <v>0</v>
      </c>
      <c r="V32" s="34">
        <f t="shared" si="15"/>
        <v>43103</v>
      </c>
      <c r="W32" s="34">
        <f t="shared" si="15"/>
        <v>0</v>
      </c>
      <c r="X32" s="34">
        <f t="shared" si="15"/>
        <v>0</v>
      </c>
      <c r="Y32" s="34">
        <f t="shared" si="15"/>
        <v>0</v>
      </c>
      <c r="Z32" s="34">
        <f t="shared" si="15"/>
        <v>0</v>
      </c>
      <c r="AA32" s="34">
        <f t="shared" si="15"/>
        <v>37076.565999999999</v>
      </c>
      <c r="AB32" s="34">
        <f t="shared" si="15"/>
        <v>0</v>
      </c>
      <c r="AC32" s="34">
        <f t="shared" si="15"/>
        <v>0</v>
      </c>
      <c r="AD32" s="34">
        <f t="shared" si="15"/>
        <v>0</v>
      </c>
      <c r="AE32" s="34">
        <f t="shared" si="15"/>
        <v>5021</v>
      </c>
      <c r="AF32" s="34">
        <f t="shared" si="15"/>
        <v>5021</v>
      </c>
      <c r="AG32" s="34">
        <f t="shared" si="15"/>
        <v>0</v>
      </c>
      <c r="AH32" s="34">
        <f t="shared" si="15"/>
        <v>0</v>
      </c>
      <c r="AI32" s="34">
        <f t="shared" si="15"/>
        <v>3598</v>
      </c>
      <c r="AJ32" s="34">
        <f t="shared" si="15"/>
        <v>3598</v>
      </c>
      <c r="AK32" s="34">
        <f t="shared" si="15"/>
        <v>0</v>
      </c>
      <c r="AL32" s="34">
        <f t="shared" si="15"/>
        <v>0</v>
      </c>
      <c r="AM32" s="34">
        <f t="shared" si="15"/>
        <v>0</v>
      </c>
      <c r="AN32" s="28"/>
      <c r="AO32" s="20">
        <f t="shared" si="1"/>
        <v>1700</v>
      </c>
    </row>
    <row r="33" spans="1:41" ht="33.75" x14ac:dyDescent="0.25">
      <c r="A33" s="37">
        <v>1</v>
      </c>
      <c r="B33" s="45" t="s">
        <v>83</v>
      </c>
      <c r="C33" s="66">
        <v>7894171</v>
      </c>
      <c r="D33" s="40" t="s">
        <v>84</v>
      </c>
      <c r="E33" s="25"/>
      <c r="F33" s="25"/>
      <c r="G33" s="40" t="s">
        <v>85</v>
      </c>
      <c r="H33" s="66" t="s">
        <v>86</v>
      </c>
      <c r="I33" s="44">
        <v>28123</v>
      </c>
      <c r="J33" s="47">
        <v>28123</v>
      </c>
      <c r="K33" s="42">
        <f t="shared" ref="K33:K42" si="16">L33</f>
        <v>5000</v>
      </c>
      <c r="L33" s="43">
        <v>5000</v>
      </c>
      <c r="M33" s="43"/>
      <c r="N33" s="43"/>
      <c r="O33" s="42">
        <f t="shared" ref="O33:O47" si="17">P33</f>
        <v>3000</v>
      </c>
      <c r="P33" s="42">
        <f>L33*0.6</f>
        <v>3000</v>
      </c>
      <c r="Q33" s="42">
        <f>R33</f>
        <v>6000</v>
      </c>
      <c r="R33" s="43">
        <v>6000</v>
      </c>
      <c r="S33" s="44">
        <f>T33</f>
        <v>23300</v>
      </c>
      <c r="T33" s="44">
        <f>5000+7300+11000</f>
        <v>23300</v>
      </c>
      <c r="U33" s="67"/>
      <c r="V33" s="47">
        <v>28123</v>
      </c>
      <c r="W33" s="68"/>
      <c r="X33" s="69"/>
      <c r="Y33" s="25"/>
      <c r="Z33" s="70"/>
      <c r="AA33" s="44">
        <f>5000+7300+11000</f>
        <v>23300</v>
      </c>
      <c r="AB33" s="71"/>
      <c r="AC33" s="25"/>
      <c r="AD33" s="25"/>
      <c r="AE33" s="42">
        <f t="shared" si="4"/>
        <v>4823</v>
      </c>
      <c r="AF33" s="42">
        <f t="shared" ref="AF33:AF42" si="18">V33-AA33</f>
        <v>4823</v>
      </c>
      <c r="AG33" s="59"/>
      <c r="AH33" s="59"/>
      <c r="AI33" s="42">
        <f t="shared" si="6"/>
        <v>3400</v>
      </c>
      <c r="AJ33" s="42">
        <v>3400</v>
      </c>
      <c r="AK33" s="42"/>
      <c r="AL33" s="42"/>
      <c r="AM33" s="42"/>
      <c r="AN33" s="28" t="s">
        <v>44</v>
      </c>
      <c r="AO33" s="20">
        <f t="shared" ref="AO33:AO34" si="19">ROUND(V33*0.95-AA33,-2)</f>
        <v>3400</v>
      </c>
    </row>
    <row r="34" spans="1:41" ht="38.25" x14ac:dyDescent="0.25">
      <c r="A34" s="37">
        <v>2</v>
      </c>
      <c r="B34" s="72" t="s">
        <v>87</v>
      </c>
      <c r="C34" s="66">
        <v>7883729</v>
      </c>
      <c r="D34" s="73" t="s">
        <v>88</v>
      </c>
      <c r="E34" s="25"/>
      <c r="F34" s="25"/>
      <c r="G34" s="40" t="s">
        <v>89</v>
      </c>
      <c r="H34" s="66" t="s">
        <v>90</v>
      </c>
      <c r="I34" s="44">
        <v>14980</v>
      </c>
      <c r="J34" s="42">
        <v>14980</v>
      </c>
      <c r="K34" s="42">
        <f t="shared" si="16"/>
        <v>340.56599999999997</v>
      </c>
      <c r="L34" s="43">
        <v>340.56599999999997</v>
      </c>
      <c r="M34" s="43">
        <v>296</v>
      </c>
      <c r="N34" s="43">
        <v>296</v>
      </c>
      <c r="O34" s="43">
        <v>296</v>
      </c>
      <c r="P34" s="43">
        <v>296</v>
      </c>
      <c r="Q34" s="42">
        <f>R34</f>
        <v>1000</v>
      </c>
      <c r="R34" s="43">
        <v>1000</v>
      </c>
      <c r="S34" s="44">
        <f>6900+6536+1000-659.434</f>
        <v>13776.566000000001</v>
      </c>
      <c r="T34" s="44">
        <f>6900+6536+1000-659.434</f>
        <v>13776.566000000001</v>
      </c>
      <c r="U34" s="67"/>
      <c r="V34" s="42">
        <v>14980</v>
      </c>
      <c r="W34" s="68"/>
      <c r="X34" s="69"/>
      <c r="Y34" s="25"/>
      <c r="Z34" s="70"/>
      <c r="AA34" s="44">
        <f>6900+6536+1000-659.434</f>
        <v>13776.566000000001</v>
      </c>
      <c r="AB34" s="71"/>
      <c r="AC34" s="25"/>
      <c r="AD34" s="25"/>
      <c r="AE34" s="42">
        <f t="shared" si="4"/>
        <v>198</v>
      </c>
      <c r="AF34" s="42">
        <v>198</v>
      </c>
      <c r="AG34" s="59"/>
      <c r="AH34" s="59"/>
      <c r="AI34" s="42">
        <f t="shared" si="6"/>
        <v>198</v>
      </c>
      <c r="AJ34" s="42">
        <v>198</v>
      </c>
      <c r="AK34" s="42"/>
      <c r="AL34" s="42"/>
      <c r="AM34" s="42"/>
      <c r="AN34" s="28" t="s">
        <v>91</v>
      </c>
      <c r="AO34" s="20">
        <f t="shared" si="19"/>
        <v>500</v>
      </c>
    </row>
    <row r="35" spans="1:41" ht="27" x14ac:dyDescent="0.25">
      <c r="A35" s="65" t="s">
        <v>92</v>
      </c>
      <c r="B35" s="30" t="s">
        <v>93</v>
      </c>
      <c r="C35" s="24"/>
      <c r="D35" s="53"/>
      <c r="E35" s="25"/>
      <c r="F35" s="25"/>
      <c r="G35" s="26"/>
      <c r="H35" s="53"/>
      <c r="I35" s="34">
        <f>SUM(I36:I42)</f>
        <v>1917212</v>
      </c>
      <c r="J35" s="34">
        <f t="shared" ref="J35:AM35" si="20">SUM(J36:J42)</f>
        <v>909808</v>
      </c>
      <c r="K35" s="34">
        <f t="shared" si="20"/>
        <v>58000</v>
      </c>
      <c r="L35" s="34">
        <f t="shared" si="20"/>
        <v>58000</v>
      </c>
      <c r="M35" s="34">
        <f t="shared" si="20"/>
        <v>21605</v>
      </c>
      <c r="N35" s="34">
        <f t="shared" si="20"/>
        <v>21605</v>
      </c>
      <c r="O35" s="34">
        <f t="shared" si="20"/>
        <v>35985</v>
      </c>
      <c r="P35" s="34">
        <f t="shared" si="20"/>
        <v>35985</v>
      </c>
      <c r="Q35" s="34">
        <f t="shared" si="20"/>
        <v>223000</v>
      </c>
      <c r="R35" s="34">
        <f t="shared" si="20"/>
        <v>223000</v>
      </c>
      <c r="S35" s="34">
        <f t="shared" si="20"/>
        <v>447272</v>
      </c>
      <c r="T35" s="34">
        <f t="shared" si="20"/>
        <v>447272</v>
      </c>
      <c r="U35" s="34">
        <f t="shared" si="20"/>
        <v>0</v>
      </c>
      <c r="V35" s="34">
        <f t="shared" si="20"/>
        <v>832799</v>
      </c>
      <c r="W35" s="34">
        <f t="shared" si="20"/>
        <v>0</v>
      </c>
      <c r="X35" s="34">
        <f t="shared" si="20"/>
        <v>0</v>
      </c>
      <c r="Y35" s="34">
        <f t="shared" si="20"/>
        <v>0</v>
      </c>
      <c r="Z35" s="34">
        <f t="shared" si="20"/>
        <v>0</v>
      </c>
      <c r="AA35" s="34">
        <f t="shared" si="20"/>
        <v>393263</v>
      </c>
      <c r="AB35" s="34">
        <f t="shared" si="20"/>
        <v>0</v>
      </c>
      <c r="AC35" s="34">
        <f t="shared" si="20"/>
        <v>0</v>
      </c>
      <c r="AD35" s="34">
        <f t="shared" si="20"/>
        <v>0</v>
      </c>
      <c r="AE35" s="34">
        <f t="shared" si="20"/>
        <v>439536</v>
      </c>
      <c r="AF35" s="34">
        <f t="shared" si="20"/>
        <v>439536</v>
      </c>
      <c r="AG35" s="34">
        <f t="shared" si="20"/>
        <v>0</v>
      </c>
      <c r="AH35" s="34">
        <f t="shared" si="20"/>
        <v>0</v>
      </c>
      <c r="AI35" s="34">
        <f t="shared" si="20"/>
        <v>294500</v>
      </c>
      <c r="AJ35" s="34">
        <f t="shared" si="20"/>
        <v>29500</v>
      </c>
      <c r="AK35" s="34">
        <f t="shared" si="20"/>
        <v>265000</v>
      </c>
      <c r="AL35" s="34">
        <f t="shared" si="20"/>
        <v>0</v>
      </c>
      <c r="AM35" s="34">
        <f t="shared" si="20"/>
        <v>0</v>
      </c>
      <c r="AN35" s="28"/>
      <c r="AO35" s="20">
        <f t="shared" si="1"/>
        <v>356300</v>
      </c>
    </row>
    <row r="36" spans="1:41" s="36" customFormat="1" ht="51" x14ac:dyDescent="0.25">
      <c r="A36" s="37">
        <v>1</v>
      </c>
      <c r="B36" s="51" t="s">
        <v>94</v>
      </c>
      <c r="C36" s="39">
        <v>7851640</v>
      </c>
      <c r="D36" s="40" t="s">
        <v>95</v>
      </c>
      <c r="E36" s="33"/>
      <c r="F36" s="33"/>
      <c r="G36" s="73" t="s">
        <v>96</v>
      </c>
      <c r="H36" s="39" t="s">
        <v>97</v>
      </c>
      <c r="I36" s="43">
        <v>103802</v>
      </c>
      <c r="J36" s="43">
        <v>103802</v>
      </c>
      <c r="K36" s="42">
        <f t="shared" si="16"/>
        <v>6000</v>
      </c>
      <c r="L36" s="43">
        <v>6000</v>
      </c>
      <c r="M36" s="43">
        <v>134</v>
      </c>
      <c r="N36" s="43">
        <v>134</v>
      </c>
      <c r="O36" s="42">
        <f t="shared" si="17"/>
        <v>3600</v>
      </c>
      <c r="P36" s="42">
        <f>L36*0.6</f>
        <v>3600</v>
      </c>
      <c r="Q36" s="42">
        <f t="shared" ref="Q36:Q42" si="21">R36</f>
        <v>14000</v>
      </c>
      <c r="R36" s="43">
        <v>14000</v>
      </c>
      <c r="S36" s="42">
        <f t="shared" ref="S36:S38" si="22">T36</f>
        <v>55009</v>
      </c>
      <c r="T36" s="42">
        <f>J36-AE36-8000</f>
        <v>55009</v>
      </c>
      <c r="U36" s="43"/>
      <c r="V36" s="43">
        <v>61793</v>
      </c>
      <c r="W36" s="60"/>
      <c r="X36" s="59"/>
      <c r="Y36" s="59"/>
      <c r="Z36" s="59"/>
      <c r="AA36" s="43">
        <v>21000</v>
      </c>
      <c r="AB36" s="59"/>
      <c r="AC36" s="59"/>
      <c r="AD36" s="59"/>
      <c r="AE36" s="42">
        <f t="shared" si="4"/>
        <v>40793</v>
      </c>
      <c r="AF36" s="42">
        <f t="shared" si="18"/>
        <v>40793</v>
      </c>
      <c r="AG36" s="59"/>
      <c r="AH36" s="59"/>
      <c r="AI36" s="42">
        <f t="shared" si="6"/>
        <v>19000</v>
      </c>
      <c r="AJ36" s="42"/>
      <c r="AK36" s="42">
        <v>19000</v>
      </c>
      <c r="AL36" s="42"/>
      <c r="AM36" s="42"/>
      <c r="AN36" s="28" t="s">
        <v>44</v>
      </c>
      <c r="AO36" s="20">
        <f>ROUND(V36*0.65-AA36,-2)</f>
        <v>19200</v>
      </c>
    </row>
    <row r="37" spans="1:41" s="36" customFormat="1" ht="45" x14ac:dyDescent="0.25">
      <c r="A37" s="37">
        <v>2</v>
      </c>
      <c r="B37" s="51" t="s">
        <v>98</v>
      </c>
      <c r="C37" s="39">
        <v>7851328</v>
      </c>
      <c r="D37" s="40" t="s">
        <v>99</v>
      </c>
      <c r="E37" s="33"/>
      <c r="F37" s="33"/>
      <c r="G37" s="73" t="s">
        <v>96</v>
      </c>
      <c r="H37" s="74" t="s">
        <v>100</v>
      </c>
      <c r="I37" s="43">
        <v>156900</v>
      </c>
      <c r="J37" s="43">
        <v>156900</v>
      </c>
      <c r="K37" s="42">
        <f t="shared" si="16"/>
        <v>25000</v>
      </c>
      <c r="L37" s="43">
        <v>25000</v>
      </c>
      <c r="M37" s="43">
        <v>16185</v>
      </c>
      <c r="N37" s="43">
        <v>16185</v>
      </c>
      <c r="O37" s="43">
        <v>16185</v>
      </c>
      <c r="P37" s="43">
        <v>16185</v>
      </c>
      <c r="Q37" s="42">
        <f t="shared" si="21"/>
        <v>25000</v>
      </c>
      <c r="R37" s="43">
        <v>25000</v>
      </c>
      <c r="S37" s="42">
        <f t="shared" si="22"/>
        <v>56720</v>
      </c>
      <c r="T37" s="42">
        <f>J37-AE37</f>
        <v>56720</v>
      </c>
      <c r="U37" s="43"/>
      <c r="V37" s="43">
        <v>146900</v>
      </c>
      <c r="W37" s="60"/>
      <c r="X37" s="59"/>
      <c r="Y37" s="59"/>
      <c r="Z37" s="59"/>
      <c r="AA37" s="43">
        <v>46720</v>
      </c>
      <c r="AB37" s="59"/>
      <c r="AC37" s="59"/>
      <c r="AD37" s="59"/>
      <c r="AE37" s="42">
        <f t="shared" si="4"/>
        <v>100180</v>
      </c>
      <c r="AF37" s="42">
        <f t="shared" si="18"/>
        <v>100180</v>
      </c>
      <c r="AG37" s="59"/>
      <c r="AH37" s="59"/>
      <c r="AI37" s="42">
        <f t="shared" si="6"/>
        <v>49000</v>
      </c>
      <c r="AJ37" s="42"/>
      <c r="AK37" s="42">
        <v>49000</v>
      </c>
      <c r="AL37" s="42"/>
      <c r="AM37" s="42"/>
      <c r="AN37" s="28" t="s">
        <v>44</v>
      </c>
      <c r="AO37" s="20">
        <f>ROUND(V37*0.65-AA37,-2)</f>
        <v>48800</v>
      </c>
    </row>
    <row r="38" spans="1:41" s="36" customFormat="1" ht="45" x14ac:dyDescent="0.25">
      <c r="A38" s="37">
        <v>3</v>
      </c>
      <c r="B38" s="51" t="s">
        <v>101</v>
      </c>
      <c r="C38" s="39">
        <v>7850236</v>
      </c>
      <c r="D38" s="40" t="s">
        <v>102</v>
      </c>
      <c r="E38" s="33"/>
      <c r="F38" s="33"/>
      <c r="G38" s="73" t="s">
        <v>96</v>
      </c>
      <c r="H38" s="74" t="s">
        <v>103</v>
      </c>
      <c r="I38" s="43">
        <v>128000</v>
      </c>
      <c r="J38" s="43">
        <v>128000</v>
      </c>
      <c r="K38" s="42">
        <f t="shared" si="16"/>
        <v>5000</v>
      </c>
      <c r="L38" s="43">
        <f>20000-15000</f>
        <v>5000</v>
      </c>
      <c r="M38" s="43">
        <v>1579</v>
      </c>
      <c r="N38" s="43">
        <v>1579</v>
      </c>
      <c r="O38" s="42">
        <f t="shared" si="17"/>
        <v>3000</v>
      </c>
      <c r="P38" s="42">
        <f>L38*0.6</f>
        <v>3000</v>
      </c>
      <c r="Q38" s="42">
        <f t="shared" si="21"/>
        <v>20000</v>
      </c>
      <c r="R38" s="43">
        <v>20000</v>
      </c>
      <c r="S38" s="42">
        <f t="shared" si="22"/>
        <v>40000</v>
      </c>
      <c r="T38" s="42">
        <f>J38-AE38-15000</f>
        <v>40000</v>
      </c>
      <c r="U38" s="43"/>
      <c r="V38" s="43">
        <v>103000</v>
      </c>
      <c r="W38" s="60"/>
      <c r="X38" s="59"/>
      <c r="Y38" s="59"/>
      <c r="Z38" s="59"/>
      <c r="AA38" s="43">
        <v>30000</v>
      </c>
      <c r="AB38" s="59"/>
      <c r="AC38" s="59"/>
      <c r="AD38" s="59"/>
      <c r="AE38" s="42">
        <f t="shared" si="4"/>
        <v>73000</v>
      </c>
      <c r="AF38" s="42">
        <f t="shared" si="18"/>
        <v>73000</v>
      </c>
      <c r="AG38" s="59"/>
      <c r="AH38" s="59"/>
      <c r="AI38" s="42">
        <f t="shared" si="6"/>
        <v>37000</v>
      </c>
      <c r="AJ38" s="42"/>
      <c r="AK38" s="42">
        <v>37000</v>
      </c>
      <c r="AL38" s="42"/>
      <c r="AM38" s="42"/>
      <c r="AN38" s="28" t="s">
        <v>44</v>
      </c>
      <c r="AO38" s="20">
        <f>ROUND(V38*0.65-AA38,-2)</f>
        <v>37000</v>
      </c>
    </row>
    <row r="39" spans="1:41" ht="101.25" x14ac:dyDescent="0.25">
      <c r="A39" s="37">
        <v>4</v>
      </c>
      <c r="B39" s="51" t="s">
        <v>104</v>
      </c>
      <c r="C39" s="66">
        <v>7660468</v>
      </c>
      <c r="D39" s="40" t="s">
        <v>40</v>
      </c>
      <c r="E39" s="25"/>
      <c r="F39" s="25"/>
      <c r="G39" s="73" t="s">
        <v>105</v>
      </c>
      <c r="H39" s="66" t="s">
        <v>106</v>
      </c>
      <c r="I39" s="44">
        <v>1468510</v>
      </c>
      <c r="J39" s="44">
        <v>461106</v>
      </c>
      <c r="K39" s="42">
        <f>L39</f>
        <v>8000</v>
      </c>
      <c r="L39" s="43">
        <v>8000</v>
      </c>
      <c r="M39" s="43">
        <v>1363</v>
      </c>
      <c r="N39" s="43">
        <v>1363</v>
      </c>
      <c r="O39" s="42">
        <f>P39</f>
        <v>4800</v>
      </c>
      <c r="P39" s="42">
        <f>L39*0.6</f>
        <v>4800</v>
      </c>
      <c r="Q39" s="42">
        <f>R39</f>
        <v>150000</v>
      </c>
      <c r="R39" s="43">
        <v>150000</v>
      </c>
      <c r="S39" s="42">
        <f>T39</f>
        <v>268043</v>
      </c>
      <c r="T39" s="42">
        <f>410043-142000</f>
        <v>268043</v>
      </c>
      <c r="U39" s="67"/>
      <c r="V39" s="67">
        <v>461106</v>
      </c>
      <c r="W39" s="68"/>
      <c r="X39" s="69"/>
      <c r="Y39" s="25"/>
      <c r="Z39" s="70"/>
      <c r="AA39" s="44">
        <f>V39-51063-142000</f>
        <v>268043</v>
      </c>
      <c r="AB39" s="71"/>
      <c r="AC39" s="25"/>
      <c r="AD39" s="25"/>
      <c r="AE39" s="42">
        <f>AF39</f>
        <v>193063</v>
      </c>
      <c r="AF39" s="42">
        <f>J39-T39</f>
        <v>193063</v>
      </c>
      <c r="AG39" s="59"/>
      <c r="AH39" s="59"/>
      <c r="AI39" s="42">
        <f>SUM(AJ39:AM39)</f>
        <v>160000</v>
      </c>
      <c r="AJ39" s="42"/>
      <c r="AK39" s="42">
        <v>160000</v>
      </c>
      <c r="AL39" s="42"/>
      <c r="AM39" s="42"/>
      <c r="AN39" s="28" t="s">
        <v>44</v>
      </c>
      <c r="AO39" s="20">
        <f>ROUND(V39*0.95-AA39,-2)</f>
        <v>170000</v>
      </c>
    </row>
    <row r="40" spans="1:41" ht="101.25" x14ac:dyDescent="0.25">
      <c r="A40" s="37">
        <v>5</v>
      </c>
      <c r="B40" s="51" t="s">
        <v>107</v>
      </c>
      <c r="C40" s="66">
        <v>7110861</v>
      </c>
      <c r="D40" s="40" t="s">
        <v>95</v>
      </c>
      <c r="E40" s="25"/>
      <c r="F40" s="25"/>
      <c r="G40" s="40" t="s">
        <v>108</v>
      </c>
      <c r="H40" s="66" t="s">
        <v>109</v>
      </c>
      <c r="I40" s="44"/>
      <c r="J40" s="44"/>
      <c r="K40" s="42"/>
      <c r="L40" s="25"/>
      <c r="M40" s="25"/>
      <c r="N40" s="25"/>
      <c r="O40" s="42"/>
      <c r="P40" s="42"/>
      <c r="Q40" s="42"/>
      <c r="R40" s="25"/>
      <c r="S40" s="42"/>
      <c r="T40" s="42"/>
      <c r="U40" s="67"/>
      <c r="V40" s="67"/>
      <c r="W40" s="68"/>
      <c r="X40" s="69"/>
      <c r="Y40" s="25"/>
      <c r="Z40" s="70"/>
      <c r="AA40" s="44"/>
      <c r="AB40" s="71"/>
      <c r="AC40" s="25"/>
      <c r="AD40" s="25"/>
      <c r="AE40" s="42"/>
      <c r="AF40" s="42"/>
      <c r="AG40" s="59"/>
      <c r="AH40" s="59"/>
      <c r="AI40" s="42"/>
      <c r="AJ40" s="42"/>
      <c r="AK40" s="42"/>
      <c r="AL40" s="42"/>
      <c r="AM40" s="42"/>
      <c r="AN40" s="28"/>
      <c r="AO40" s="20">
        <f t="shared" si="1"/>
        <v>0</v>
      </c>
    </row>
    <row r="41" spans="1:41" ht="38.25" x14ac:dyDescent="0.25">
      <c r="A41" s="75"/>
      <c r="B41" s="76" t="s">
        <v>110</v>
      </c>
      <c r="C41" s="24"/>
      <c r="D41" s="77" t="s">
        <v>95</v>
      </c>
      <c r="E41" s="25"/>
      <c r="F41" s="25"/>
      <c r="G41" s="26"/>
      <c r="H41" s="66"/>
      <c r="I41" s="44">
        <v>30000</v>
      </c>
      <c r="J41" s="44">
        <v>30000</v>
      </c>
      <c r="K41" s="42">
        <f t="shared" si="16"/>
        <v>7000</v>
      </c>
      <c r="L41" s="42">
        <v>7000</v>
      </c>
      <c r="M41" s="42">
        <v>2344</v>
      </c>
      <c r="N41" s="42">
        <v>2344</v>
      </c>
      <c r="O41" s="42">
        <f t="shared" si="17"/>
        <v>4200</v>
      </c>
      <c r="P41" s="42">
        <f>L41*0.6</f>
        <v>4200</v>
      </c>
      <c r="Q41" s="42">
        <f t="shared" si="21"/>
        <v>7000</v>
      </c>
      <c r="R41" s="42">
        <v>7000</v>
      </c>
      <c r="S41" s="42">
        <f>T41</f>
        <v>13500</v>
      </c>
      <c r="T41" s="67">
        <v>13500</v>
      </c>
      <c r="U41" s="67"/>
      <c r="V41" s="67">
        <v>30000</v>
      </c>
      <c r="W41" s="68"/>
      <c r="X41" s="69"/>
      <c r="Y41" s="25"/>
      <c r="Z41" s="70"/>
      <c r="AA41" s="67">
        <v>13500</v>
      </c>
      <c r="AB41" s="71"/>
      <c r="AC41" s="25"/>
      <c r="AD41" s="25"/>
      <c r="AE41" s="42">
        <f t="shared" si="4"/>
        <v>16500</v>
      </c>
      <c r="AF41" s="42">
        <f t="shared" si="18"/>
        <v>16500</v>
      </c>
      <c r="AG41" s="59"/>
      <c r="AH41" s="59"/>
      <c r="AI41" s="42">
        <f t="shared" si="6"/>
        <v>15000</v>
      </c>
      <c r="AJ41" s="42">
        <v>15000</v>
      </c>
      <c r="AK41" s="42"/>
      <c r="AL41" s="42"/>
      <c r="AM41" s="42"/>
      <c r="AN41" s="28" t="s">
        <v>44</v>
      </c>
      <c r="AO41" s="20">
        <f>ROUND(V41*0.95-AA41,-2)</f>
        <v>15000</v>
      </c>
    </row>
    <row r="42" spans="1:41" ht="38.25" x14ac:dyDescent="0.25">
      <c r="A42" s="75"/>
      <c r="B42" s="76" t="s">
        <v>111</v>
      </c>
      <c r="C42" s="24"/>
      <c r="D42" s="77" t="s">
        <v>95</v>
      </c>
      <c r="E42" s="25"/>
      <c r="F42" s="25"/>
      <c r="G42" s="26"/>
      <c r="H42" s="66"/>
      <c r="I42" s="44">
        <v>30000</v>
      </c>
      <c r="J42" s="44">
        <v>30000</v>
      </c>
      <c r="K42" s="42">
        <f t="shared" si="16"/>
        <v>7000</v>
      </c>
      <c r="L42" s="42">
        <v>7000</v>
      </c>
      <c r="M42" s="42"/>
      <c r="N42" s="42"/>
      <c r="O42" s="42">
        <f t="shared" si="17"/>
        <v>4200</v>
      </c>
      <c r="P42" s="42">
        <f>L42*0.6</f>
        <v>4200</v>
      </c>
      <c r="Q42" s="42">
        <f t="shared" si="21"/>
        <v>7000</v>
      </c>
      <c r="R42" s="42">
        <v>7000</v>
      </c>
      <c r="S42" s="42">
        <f>T42</f>
        <v>14000</v>
      </c>
      <c r="T42" s="67">
        <v>14000</v>
      </c>
      <c r="U42" s="67"/>
      <c r="V42" s="67">
        <v>30000</v>
      </c>
      <c r="W42" s="68"/>
      <c r="X42" s="69"/>
      <c r="Y42" s="25"/>
      <c r="Z42" s="70"/>
      <c r="AA42" s="67">
        <v>14000</v>
      </c>
      <c r="AB42" s="71"/>
      <c r="AC42" s="25"/>
      <c r="AD42" s="25"/>
      <c r="AE42" s="42">
        <f t="shared" si="4"/>
        <v>16000</v>
      </c>
      <c r="AF42" s="42">
        <f t="shared" si="18"/>
        <v>16000</v>
      </c>
      <c r="AG42" s="59"/>
      <c r="AH42" s="59"/>
      <c r="AI42" s="42">
        <f t="shared" si="6"/>
        <v>14500</v>
      </c>
      <c r="AJ42" s="42">
        <v>14500</v>
      </c>
      <c r="AK42" s="42"/>
      <c r="AL42" s="42"/>
      <c r="AM42" s="42"/>
      <c r="AN42" s="28" t="s">
        <v>44</v>
      </c>
      <c r="AO42" s="20">
        <f>ROUND(V42*0.95-AA42,-2)</f>
        <v>14500</v>
      </c>
    </row>
    <row r="43" spans="1:41" x14ac:dyDescent="0.25">
      <c r="A43" s="22" t="s">
        <v>112</v>
      </c>
      <c r="B43" s="23" t="s">
        <v>113</v>
      </c>
      <c r="C43" s="24"/>
      <c r="D43" s="24"/>
      <c r="E43" s="25"/>
      <c r="F43" s="25"/>
      <c r="G43" s="26"/>
      <c r="H43" s="26"/>
      <c r="I43" s="27">
        <f>I44+I46</f>
        <v>74611</v>
      </c>
      <c r="J43" s="27">
        <f t="shared" ref="J43:AM43" si="23">J44+J46</f>
        <v>66994</v>
      </c>
      <c r="K43" s="27">
        <f t="shared" si="23"/>
        <v>13600</v>
      </c>
      <c r="L43" s="27">
        <f t="shared" si="23"/>
        <v>13600</v>
      </c>
      <c r="M43" s="27">
        <f t="shared" si="23"/>
        <v>8600</v>
      </c>
      <c r="N43" s="27">
        <f t="shared" si="23"/>
        <v>8600</v>
      </c>
      <c r="O43" s="27">
        <f t="shared" si="23"/>
        <v>11600</v>
      </c>
      <c r="P43" s="27">
        <f t="shared" si="23"/>
        <v>11600</v>
      </c>
      <c r="Q43" s="27">
        <f t="shared" si="23"/>
        <v>13600</v>
      </c>
      <c r="R43" s="27">
        <f t="shared" si="23"/>
        <v>13600</v>
      </c>
      <c r="S43" s="27">
        <f t="shared" si="23"/>
        <v>42073</v>
      </c>
      <c r="T43" s="27">
        <f t="shared" si="23"/>
        <v>42073</v>
      </c>
      <c r="U43" s="27">
        <f t="shared" si="23"/>
        <v>0</v>
      </c>
      <c r="V43" s="27">
        <f t="shared" si="23"/>
        <v>48610</v>
      </c>
      <c r="W43" s="27">
        <f t="shared" si="23"/>
        <v>0</v>
      </c>
      <c r="X43" s="27">
        <f t="shared" si="23"/>
        <v>0</v>
      </c>
      <c r="Y43" s="27">
        <f t="shared" si="23"/>
        <v>0</v>
      </c>
      <c r="Z43" s="27">
        <f t="shared" si="23"/>
        <v>0</v>
      </c>
      <c r="AA43" s="27">
        <f t="shared" si="23"/>
        <v>23689</v>
      </c>
      <c r="AB43" s="27">
        <f t="shared" si="23"/>
        <v>0</v>
      </c>
      <c r="AC43" s="27">
        <f t="shared" si="23"/>
        <v>0</v>
      </c>
      <c r="AD43" s="27">
        <f t="shared" si="23"/>
        <v>0</v>
      </c>
      <c r="AE43" s="27">
        <f t="shared" si="23"/>
        <v>24921</v>
      </c>
      <c r="AF43" s="27">
        <f t="shared" si="23"/>
        <v>24921</v>
      </c>
      <c r="AG43" s="27">
        <f t="shared" si="23"/>
        <v>0</v>
      </c>
      <c r="AH43" s="27">
        <f t="shared" si="23"/>
        <v>0</v>
      </c>
      <c r="AI43" s="27">
        <f t="shared" si="23"/>
        <v>22100</v>
      </c>
      <c r="AJ43" s="27">
        <f t="shared" si="23"/>
        <v>21500</v>
      </c>
      <c r="AK43" s="27">
        <f t="shared" si="23"/>
        <v>600</v>
      </c>
      <c r="AL43" s="27">
        <f t="shared" si="23"/>
        <v>0</v>
      </c>
      <c r="AM43" s="27">
        <f t="shared" si="23"/>
        <v>0</v>
      </c>
      <c r="AN43" s="28"/>
      <c r="AO43" s="20">
        <f t="shared" si="1"/>
        <v>20100</v>
      </c>
    </row>
    <row r="44" spans="1:41" s="64" customFormat="1" ht="27" x14ac:dyDescent="0.25">
      <c r="A44" s="65" t="s">
        <v>81</v>
      </c>
      <c r="B44" s="30" t="s">
        <v>114</v>
      </c>
      <c r="C44" s="78"/>
      <c r="D44" s="53"/>
      <c r="E44" s="61"/>
      <c r="F44" s="61"/>
      <c r="G44" s="79"/>
      <c r="H44" s="53"/>
      <c r="I44" s="34">
        <f t="shared" ref="I44:AM44" si="24">SUM(I45:I45)</f>
        <v>44987</v>
      </c>
      <c r="J44" s="34">
        <f t="shared" si="24"/>
        <v>37370</v>
      </c>
      <c r="K44" s="34">
        <f t="shared" si="24"/>
        <v>8600</v>
      </c>
      <c r="L44" s="34">
        <f t="shared" si="24"/>
        <v>8600</v>
      </c>
      <c r="M44" s="34">
        <f t="shared" si="24"/>
        <v>8600</v>
      </c>
      <c r="N44" s="34">
        <f t="shared" si="24"/>
        <v>8600</v>
      </c>
      <c r="O44" s="34">
        <f t="shared" si="24"/>
        <v>8600</v>
      </c>
      <c r="P44" s="34">
        <f t="shared" si="24"/>
        <v>8600</v>
      </c>
      <c r="Q44" s="34">
        <f t="shared" si="24"/>
        <v>8600</v>
      </c>
      <c r="R44" s="34">
        <f t="shared" si="24"/>
        <v>8600</v>
      </c>
      <c r="S44" s="34">
        <f t="shared" si="24"/>
        <v>36384</v>
      </c>
      <c r="T44" s="34">
        <f t="shared" si="24"/>
        <v>36384</v>
      </c>
      <c r="U44" s="34">
        <f t="shared" si="24"/>
        <v>0</v>
      </c>
      <c r="V44" s="34">
        <f t="shared" si="24"/>
        <v>18986</v>
      </c>
      <c r="W44" s="34">
        <f t="shared" si="24"/>
        <v>0</v>
      </c>
      <c r="X44" s="34">
        <f t="shared" si="24"/>
        <v>0</v>
      </c>
      <c r="Y44" s="34">
        <f t="shared" si="24"/>
        <v>0</v>
      </c>
      <c r="Z44" s="34">
        <f t="shared" si="24"/>
        <v>0</v>
      </c>
      <c r="AA44" s="34">
        <f t="shared" si="24"/>
        <v>18000</v>
      </c>
      <c r="AB44" s="34">
        <f t="shared" si="24"/>
        <v>0</v>
      </c>
      <c r="AC44" s="34">
        <f t="shared" si="24"/>
        <v>0</v>
      </c>
      <c r="AD44" s="34">
        <f t="shared" si="24"/>
        <v>0</v>
      </c>
      <c r="AE44" s="34">
        <f t="shared" si="24"/>
        <v>986</v>
      </c>
      <c r="AF44" s="34">
        <f t="shared" si="24"/>
        <v>986</v>
      </c>
      <c r="AG44" s="34">
        <f t="shared" si="24"/>
        <v>0</v>
      </c>
      <c r="AH44" s="34">
        <f t="shared" si="24"/>
        <v>0</v>
      </c>
      <c r="AI44" s="34">
        <f t="shared" si="24"/>
        <v>600</v>
      </c>
      <c r="AJ44" s="34">
        <f t="shared" si="24"/>
        <v>0</v>
      </c>
      <c r="AK44" s="34">
        <f t="shared" si="24"/>
        <v>600</v>
      </c>
      <c r="AL44" s="34">
        <f t="shared" si="24"/>
        <v>0</v>
      </c>
      <c r="AM44" s="34">
        <f t="shared" si="24"/>
        <v>0</v>
      </c>
      <c r="AN44" s="35"/>
      <c r="AO44" s="20">
        <f t="shared" si="1"/>
        <v>-900</v>
      </c>
    </row>
    <row r="45" spans="1:41" ht="101.25" x14ac:dyDescent="0.25">
      <c r="A45" s="37" t="s">
        <v>38</v>
      </c>
      <c r="B45" s="72" t="s">
        <v>115</v>
      </c>
      <c r="C45" s="66">
        <v>7367611</v>
      </c>
      <c r="D45" s="40" t="s">
        <v>40</v>
      </c>
      <c r="E45" s="25"/>
      <c r="F45" s="25"/>
      <c r="G45" s="80" t="s">
        <v>105</v>
      </c>
      <c r="H45" s="40" t="s">
        <v>116</v>
      </c>
      <c r="I45" s="42">
        <v>44987</v>
      </c>
      <c r="J45" s="42">
        <v>37370</v>
      </c>
      <c r="K45" s="42">
        <v>8600</v>
      </c>
      <c r="L45" s="42">
        <v>8600</v>
      </c>
      <c r="M45" s="42">
        <v>8600</v>
      </c>
      <c r="N45" s="42">
        <v>8600</v>
      </c>
      <c r="O45" s="42">
        <v>8600</v>
      </c>
      <c r="P45" s="42">
        <v>8600</v>
      </c>
      <c r="Q45" s="42">
        <v>8600</v>
      </c>
      <c r="R45" s="42">
        <v>8600</v>
      </c>
      <c r="S45" s="42">
        <v>36384</v>
      </c>
      <c r="T45" s="42">
        <v>36384</v>
      </c>
      <c r="U45" s="42"/>
      <c r="V45" s="42">
        <v>18986</v>
      </c>
      <c r="W45" s="81"/>
      <c r="X45" s="18"/>
      <c r="Y45" s="18"/>
      <c r="Z45" s="18"/>
      <c r="AA45" s="44">
        <v>18000</v>
      </c>
      <c r="AB45" s="34"/>
      <c r="AC45" s="18"/>
      <c r="AD45" s="18"/>
      <c r="AE45" s="42">
        <f t="shared" si="4"/>
        <v>986</v>
      </c>
      <c r="AF45" s="42">
        <f t="shared" ref="AF45:AF82" si="25">V45-AA45</f>
        <v>986</v>
      </c>
      <c r="AG45" s="18"/>
      <c r="AH45" s="18"/>
      <c r="AI45" s="42">
        <f t="shared" si="6"/>
        <v>600</v>
      </c>
      <c r="AJ45" s="42"/>
      <c r="AK45" s="42">
        <v>600</v>
      </c>
      <c r="AL45" s="42"/>
      <c r="AM45" s="42"/>
      <c r="AN45" s="28" t="s">
        <v>44</v>
      </c>
      <c r="AO45" s="20">
        <f t="shared" si="1"/>
        <v>-900</v>
      </c>
    </row>
    <row r="46" spans="1:41" s="64" customFormat="1" ht="27" x14ac:dyDescent="0.25">
      <c r="A46" s="65" t="s">
        <v>92</v>
      </c>
      <c r="B46" s="30" t="s">
        <v>117</v>
      </c>
      <c r="C46" s="78"/>
      <c r="D46" s="53"/>
      <c r="E46" s="61"/>
      <c r="F46" s="61"/>
      <c r="G46" s="79"/>
      <c r="H46" s="53"/>
      <c r="I46" s="34">
        <f>I47</f>
        <v>29624</v>
      </c>
      <c r="J46" s="34">
        <f t="shared" ref="J46:AM46" si="26">J47</f>
        <v>29624</v>
      </c>
      <c r="K46" s="34">
        <f t="shared" si="26"/>
        <v>5000</v>
      </c>
      <c r="L46" s="34">
        <f t="shared" si="26"/>
        <v>5000</v>
      </c>
      <c r="M46" s="34">
        <f t="shared" si="26"/>
        <v>0</v>
      </c>
      <c r="N46" s="34">
        <f t="shared" si="26"/>
        <v>0</v>
      </c>
      <c r="O46" s="34">
        <f t="shared" si="26"/>
        <v>3000</v>
      </c>
      <c r="P46" s="34">
        <f t="shared" si="26"/>
        <v>3000</v>
      </c>
      <c r="Q46" s="34">
        <f t="shared" si="26"/>
        <v>5000</v>
      </c>
      <c r="R46" s="34">
        <f t="shared" si="26"/>
        <v>5000</v>
      </c>
      <c r="S46" s="34">
        <f t="shared" si="26"/>
        <v>5689</v>
      </c>
      <c r="T46" s="34">
        <f t="shared" si="26"/>
        <v>5689</v>
      </c>
      <c r="U46" s="34">
        <f t="shared" si="26"/>
        <v>0</v>
      </c>
      <c r="V46" s="34">
        <f t="shared" si="26"/>
        <v>29624</v>
      </c>
      <c r="W46" s="34">
        <f t="shared" si="26"/>
        <v>0</v>
      </c>
      <c r="X46" s="34">
        <f t="shared" si="26"/>
        <v>0</v>
      </c>
      <c r="Y46" s="34">
        <f t="shared" si="26"/>
        <v>0</v>
      </c>
      <c r="Z46" s="34">
        <f t="shared" si="26"/>
        <v>0</v>
      </c>
      <c r="AA46" s="34">
        <f t="shared" si="26"/>
        <v>5689</v>
      </c>
      <c r="AB46" s="34">
        <f t="shared" si="26"/>
        <v>0</v>
      </c>
      <c r="AC46" s="34">
        <f t="shared" si="26"/>
        <v>0</v>
      </c>
      <c r="AD46" s="34">
        <f t="shared" si="26"/>
        <v>0</v>
      </c>
      <c r="AE46" s="34">
        <f t="shared" si="26"/>
        <v>23935</v>
      </c>
      <c r="AF46" s="34">
        <f t="shared" si="26"/>
        <v>23935</v>
      </c>
      <c r="AG46" s="34">
        <f t="shared" si="26"/>
        <v>0</v>
      </c>
      <c r="AH46" s="34">
        <f t="shared" si="26"/>
        <v>0</v>
      </c>
      <c r="AI46" s="34">
        <f t="shared" si="26"/>
        <v>21500</v>
      </c>
      <c r="AJ46" s="34">
        <f t="shared" si="26"/>
        <v>21500</v>
      </c>
      <c r="AK46" s="34">
        <f t="shared" si="26"/>
        <v>0</v>
      </c>
      <c r="AL46" s="34">
        <f t="shared" si="26"/>
        <v>0</v>
      </c>
      <c r="AM46" s="34">
        <f t="shared" si="26"/>
        <v>0</v>
      </c>
      <c r="AN46" s="35"/>
      <c r="AO46" s="20">
        <f t="shared" si="1"/>
        <v>21000</v>
      </c>
    </row>
    <row r="47" spans="1:41" s="84" customFormat="1" ht="33.75" x14ac:dyDescent="0.25">
      <c r="A47" s="46">
        <v>1</v>
      </c>
      <c r="B47" s="82" t="s">
        <v>118</v>
      </c>
      <c r="C47" s="40">
        <v>7910249</v>
      </c>
      <c r="D47" s="40" t="s">
        <v>119</v>
      </c>
      <c r="E47" s="83"/>
      <c r="F47" s="83"/>
      <c r="G47" s="40" t="s">
        <v>120</v>
      </c>
      <c r="H47" s="40" t="s">
        <v>121</v>
      </c>
      <c r="I47" s="47">
        <v>29624</v>
      </c>
      <c r="J47" s="47">
        <v>29624</v>
      </c>
      <c r="K47" s="42">
        <f t="shared" ref="K47:K54" si="27">L47</f>
        <v>5000</v>
      </c>
      <c r="L47" s="47">
        <v>5000</v>
      </c>
      <c r="M47" s="47"/>
      <c r="N47" s="47"/>
      <c r="O47" s="42">
        <f t="shared" si="17"/>
        <v>3000</v>
      </c>
      <c r="P47" s="42">
        <f>L47*0.6</f>
        <v>3000</v>
      </c>
      <c r="Q47" s="42">
        <f>R47</f>
        <v>5000</v>
      </c>
      <c r="R47" s="47">
        <v>5000</v>
      </c>
      <c r="S47" s="44">
        <f>320+369+5000</f>
        <v>5689</v>
      </c>
      <c r="T47" s="44">
        <f>320+369+5000</f>
        <v>5689</v>
      </c>
      <c r="U47" s="34"/>
      <c r="V47" s="47">
        <v>29624</v>
      </c>
      <c r="W47" s="34"/>
      <c r="X47" s="34"/>
      <c r="Y47" s="34"/>
      <c r="Z47" s="34"/>
      <c r="AA47" s="44">
        <f>320+369+5000</f>
        <v>5689</v>
      </c>
      <c r="AB47" s="34"/>
      <c r="AC47" s="34"/>
      <c r="AD47" s="34"/>
      <c r="AE47" s="42">
        <f t="shared" ref="AE47:AE86" si="28">AF47</f>
        <v>23935</v>
      </c>
      <c r="AF47" s="42">
        <f t="shared" si="25"/>
        <v>23935</v>
      </c>
      <c r="AG47" s="34"/>
      <c r="AH47" s="34"/>
      <c r="AI47" s="42">
        <f t="shared" si="6"/>
        <v>21500</v>
      </c>
      <c r="AJ47" s="42">
        <v>21500</v>
      </c>
      <c r="AK47" s="42"/>
      <c r="AL47" s="42"/>
      <c r="AM47" s="42"/>
      <c r="AN47" s="28" t="s">
        <v>44</v>
      </c>
      <c r="AO47" s="20">
        <f>ROUND(V47*0.95-AA47,-2)</f>
        <v>22500</v>
      </c>
    </row>
    <row r="48" spans="1:41" x14ac:dyDescent="0.25">
      <c r="A48" s="22" t="s">
        <v>122</v>
      </c>
      <c r="B48" s="23" t="s">
        <v>123</v>
      </c>
      <c r="C48" s="24"/>
      <c r="D48" s="24"/>
      <c r="E48" s="25"/>
      <c r="F48" s="25"/>
      <c r="G48" s="26"/>
      <c r="H48" s="26"/>
      <c r="I48" s="27">
        <f>I49</f>
        <v>100000</v>
      </c>
      <c r="J48" s="27">
        <f t="shared" ref="J48:AM48" si="29">J49</f>
        <v>100000</v>
      </c>
      <c r="K48" s="27">
        <f t="shared" si="29"/>
        <v>5963</v>
      </c>
      <c r="L48" s="27">
        <f t="shared" si="29"/>
        <v>5963</v>
      </c>
      <c r="M48" s="27">
        <f t="shared" si="29"/>
        <v>1962</v>
      </c>
      <c r="N48" s="27">
        <f t="shared" si="29"/>
        <v>1962</v>
      </c>
      <c r="O48" s="27">
        <f t="shared" si="29"/>
        <v>3577.8</v>
      </c>
      <c r="P48" s="27">
        <f t="shared" si="29"/>
        <v>3577.8</v>
      </c>
      <c r="Q48" s="27">
        <f t="shared" si="29"/>
        <v>27000</v>
      </c>
      <c r="R48" s="27">
        <f t="shared" si="29"/>
        <v>27000</v>
      </c>
      <c r="S48" s="27">
        <f t="shared" si="29"/>
        <v>15463</v>
      </c>
      <c r="T48" s="27">
        <f t="shared" si="29"/>
        <v>15463</v>
      </c>
      <c r="U48" s="27">
        <f t="shared" si="29"/>
        <v>0</v>
      </c>
      <c r="V48" s="27">
        <f t="shared" si="29"/>
        <v>100000</v>
      </c>
      <c r="W48" s="27">
        <f t="shared" si="29"/>
        <v>0</v>
      </c>
      <c r="X48" s="27">
        <f t="shared" si="29"/>
        <v>0</v>
      </c>
      <c r="Y48" s="27">
        <f t="shared" si="29"/>
        <v>0</v>
      </c>
      <c r="Z48" s="27">
        <f t="shared" si="29"/>
        <v>0</v>
      </c>
      <c r="AA48" s="27">
        <f t="shared" si="29"/>
        <v>15463</v>
      </c>
      <c r="AB48" s="27">
        <f t="shared" si="29"/>
        <v>0</v>
      </c>
      <c r="AC48" s="27">
        <f t="shared" si="29"/>
        <v>0</v>
      </c>
      <c r="AD48" s="27">
        <f t="shared" si="29"/>
        <v>0</v>
      </c>
      <c r="AE48" s="27">
        <f t="shared" si="29"/>
        <v>84537</v>
      </c>
      <c r="AF48" s="27">
        <f t="shared" si="29"/>
        <v>84537</v>
      </c>
      <c r="AG48" s="27">
        <f t="shared" si="29"/>
        <v>0</v>
      </c>
      <c r="AH48" s="27">
        <f t="shared" si="29"/>
        <v>0</v>
      </c>
      <c r="AI48" s="27">
        <f t="shared" si="29"/>
        <v>74000</v>
      </c>
      <c r="AJ48" s="27">
        <f t="shared" si="29"/>
        <v>17442</v>
      </c>
      <c r="AK48" s="27">
        <f t="shared" si="29"/>
        <v>56558</v>
      </c>
      <c r="AL48" s="27">
        <f t="shared" si="29"/>
        <v>0</v>
      </c>
      <c r="AM48" s="27">
        <f t="shared" si="29"/>
        <v>0</v>
      </c>
      <c r="AN48" s="28"/>
      <c r="AO48" s="20">
        <f t="shared" si="1"/>
        <v>74500</v>
      </c>
    </row>
    <row r="49" spans="1:41" s="84" customFormat="1" ht="27" x14ac:dyDescent="0.25">
      <c r="A49" s="65"/>
      <c r="B49" s="30" t="s">
        <v>117</v>
      </c>
      <c r="C49" s="85"/>
      <c r="D49" s="53"/>
      <c r="E49" s="83"/>
      <c r="F49" s="83"/>
      <c r="G49" s="86"/>
      <c r="H49" s="53"/>
      <c r="I49" s="34">
        <f>SUM(I50:I51)</f>
        <v>100000</v>
      </c>
      <c r="J49" s="34">
        <f t="shared" ref="J49:AM49" si="30">SUM(J50:J51)</f>
        <v>100000</v>
      </c>
      <c r="K49" s="34">
        <f t="shared" si="30"/>
        <v>5963</v>
      </c>
      <c r="L49" s="34">
        <f t="shared" si="30"/>
        <v>5963</v>
      </c>
      <c r="M49" s="34">
        <f t="shared" si="30"/>
        <v>1962</v>
      </c>
      <c r="N49" s="34">
        <f t="shared" si="30"/>
        <v>1962</v>
      </c>
      <c r="O49" s="34">
        <f t="shared" si="30"/>
        <v>3577.8</v>
      </c>
      <c r="P49" s="34">
        <f t="shared" si="30"/>
        <v>3577.8</v>
      </c>
      <c r="Q49" s="34">
        <f t="shared" si="30"/>
        <v>27000</v>
      </c>
      <c r="R49" s="34">
        <f t="shared" si="30"/>
        <v>27000</v>
      </c>
      <c r="S49" s="34">
        <f t="shared" si="30"/>
        <v>15463</v>
      </c>
      <c r="T49" s="34">
        <f t="shared" si="30"/>
        <v>15463</v>
      </c>
      <c r="U49" s="34">
        <f t="shared" si="30"/>
        <v>0</v>
      </c>
      <c r="V49" s="34">
        <f t="shared" si="30"/>
        <v>100000</v>
      </c>
      <c r="W49" s="34">
        <f t="shared" si="30"/>
        <v>0</v>
      </c>
      <c r="X49" s="34">
        <f t="shared" si="30"/>
        <v>0</v>
      </c>
      <c r="Y49" s="34">
        <f t="shared" si="30"/>
        <v>0</v>
      </c>
      <c r="Z49" s="34">
        <f t="shared" si="30"/>
        <v>0</v>
      </c>
      <c r="AA49" s="34">
        <f t="shared" si="30"/>
        <v>15463</v>
      </c>
      <c r="AB49" s="34">
        <f t="shared" si="30"/>
        <v>0</v>
      </c>
      <c r="AC49" s="34">
        <f t="shared" si="30"/>
        <v>0</v>
      </c>
      <c r="AD49" s="34">
        <f t="shared" si="30"/>
        <v>0</v>
      </c>
      <c r="AE49" s="34">
        <f t="shared" si="30"/>
        <v>84537</v>
      </c>
      <c r="AF49" s="34">
        <f t="shared" si="30"/>
        <v>84537</v>
      </c>
      <c r="AG49" s="34">
        <f t="shared" si="30"/>
        <v>0</v>
      </c>
      <c r="AH49" s="34">
        <f t="shared" si="30"/>
        <v>0</v>
      </c>
      <c r="AI49" s="34">
        <f t="shared" si="30"/>
        <v>74000</v>
      </c>
      <c r="AJ49" s="34">
        <f t="shared" si="30"/>
        <v>17442</v>
      </c>
      <c r="AK49" s="34">
        <f t="shared" si="30"/>
        <v>56558</v>
      </c>
      <c r="AL49" s="34">
        <f t="shared" si="30"/>
        <v>0</v>
      </c>
      <c r="AM49" s="34">
        <f t="shared" si="30"/>
        <v>0</v>
      </c>
      <c r="AN49" s="87"/>
      <c r="AO49" s="20">
        <f t="shared" si="1"/>
        <v>74500</v>
      </c>
    </row>
    <row r="50" spans="1:41" s="84" customFormat="1" ht="45" x14ac:dyDescent="0.25">
      <c r="A50" s="46">
        <v>1</v>
      </c>
      <c r="B50" s="82" t="s">
        <v>124</v>
      </c>
      <c r="C50" s="39">
        <v>7904515</v>
      </c>
      <c r="D50" s="40" t="s">
        <v>40</v>
      </c>
      <c r="E50" s="83"/>
      <c r="F50" s="83"/>
      <c r="G50" s="40" t="s">
        <v>42</v>
      </c>
      <c r="H50" s="40" t="s">
        <v>125</v>
      </c>
      <c r="I50" s="47">
        <v>70000</v>
      </c>
      <c r="J50" s="47">
        <v>70000</v>
      </c>
      <c r="K50" s="42">
        <f t="shared" si="27"/>
        <v>1578</v>
      </c>
      <c r="L50" s="44">
        <f>18000-16422</f>
        <v>1578</v>
      </c>
      <c r="M50" s="44">
        <v>1577</v>
      </c>
      <c r="N50" s="44">
        <v>1577</v>
      </c>
      <c r="O50" s="42">
        <f>P50</f>
        <v>946.8</v>
      </c>
      <c r="P50" s="42">
        <f>L50*0.6</f>
        <v>946.8</v>
      </c>
      <c r="Q50" s="42">
        <f>R50</f>
        <v>18000</v>
      </c>
      <c r="R50" s="44">
        <v>18000</v>
      </c>
      <c r="S50" s="44">
        <f>25500-16422</f>
        <v>9078</v>
      </c>
      <c r="T50" s="44">
        <f>25500-16422</f>
        <v>9078</v>
      </c>
      <c r="U50" s="34"/>
      <c r="V50" s="47">
        <v>70000</v>
      </c>
      <c r="W50" s="34"/>
      <c r="X50" s="34"/>
      <c r="Y50" s="34"/>
      <c r="Z50" s="34"/>
      <c r="AA50" s="44">
        <f>25500-16422</f>
        <v>9078</v>
      </c>
      <c r="AB50" s="44"/>
      <c r="AC50" s="34"/>
      <c r="AD50" s="34"/>
      <c r="AE50" s="42">
        <f t="shared" si="28"/>
        <v>60922</v>
      </c>
      <c r="AF50" s="42">
        <f t="shared" si="25"/>
        <v>60922</v>
      </c>
      <c r="AG50" s="34"/>
      <c r="AH50" s="34"/>
      <c r="AI50" s="42">
        <f t="shared" si="6"/>
        <v>54000</v>
      </c>
      <c r="AJ50" s="42">
        <f>15000+404+538+1500</f>
        <v>17442</v>
      </c>
      <c r="AK50" s="42">
        <f>39000-404-538-1500</f>
        <v>36558</v>
      </c>
      <c r="AL50" s="42"/>
      <c r="AM50" s="42"/>
      <c r="AN50" s="28" t="s">
        <v>44</v>
      </c>
      <c r="AO50" s="20">
        <f>ROUND(V50*0.9-AA50,-2)</f>
        <v>53900</v>
      </c>
    </row>
    <row r="51" spans="1:41" s="84" customFormat="1" ht="45" x14ac:dyDescent="0.25">
      <c r="A51" s="46">
        <v>2</v>
      </c>
      <c r="B51" s="82" t="s">
        <v>126</v>
      </c>
      <c r="C51" s="39">
        <v>7940845</v>
      </c>
      <c r="D51" s="40" t="s">
        <v>40</v>
      </c>
      <c r="E51" s="83"/>
      <c r="F51" s="83"/>
      <c r="G51" s="40" t="s">
        <v>42</v>
      </c>
      <c r="H51" s="88" t="s">
        <v>127</v>
      </c>
      <c r="I51" s="42">
        <v>30000</v>
      </c>
      <c r="J51" s="42">
        <v>30000</v>
      </c>
      <c r="K51" s="42">
        <f t="shared" si="27"/>
        <v>4385</v>
      </c>
      <c r="L51" s="42">
        <v>4385</v>
      </c>
      <c r="M51" s="42">
        <v>385</v>
      </c>
      <c r="N51" s="42">
        <v>385</v>
      </c>
      <c r="O51" s="42">
        <f>P51</f>
        <v>2631</v>
      </c>
      <c r="P51" s="42">
        <f>L51*0.6</f>
        <v>2631</v>
      </c>
      <c r="Q51" s="42">
        <f>R51</f>
        <v>9000</v>
      </c>
      <c r="R51" s="42">
        <v>9000</v>
      </c>
      <c r="S51" s="44">
        <f>15000-8615</f>
        <v>6385</v>
      </c>
      <c r="T51" s="44">
        <f>15000-8615</f>
        <v>6385</v>
      </c>
      <c r="U51" s="34"/>
      <c r="V51" s="47">
        <v>30000</v>
      </c>
      <c r="W51" s="34"/>
      <c r="X51" s="34"/>
      <c r="Y51" s="34"/>
      <c r="Z51" s="34"/>
      <c r="AA51" s="44">
        <f>15000-8615</f>
        <v>6385</v>
      </c>
      <c r="AB51" s="44"/>
      <c r="AC51" s="34"/>
      <c r="AD51" s="34"/>
      <c r="AE51" s="42">
        <f t="shared" si="28"/>
        <v>23615</v>
      </c>
      <c r="AF51" s="42">
        <f t="shared" si="25"/>
        <v>23615</v>
      </c>
      <c r="AG51" s="34"/>
      <c r="AH51" s="34"/>
      <c r="AI51" s="42">
        <f t="shared" si="6"/>
        <v>20000</v>
      </c>
      <c r="AJ51" s="42"/>
      <c r="AK51" s="42">
        <v>20000</v>
      </c>
      <c r="AL51" s="42"/>
      <c r="AM51" s="42"/>
      <c r="AN51" s="28" t="s">
        <v>44</v>
      </c>
      <c r="AO51" s="20">
        <f>ROUND(V51*0.9-AA51,-2)</f>
        <v>20600</v>
      </c>
    </row>
    <row r="52" spans="1:41" x14ac:dyDescent="0.25">
      <c r="A52" s="22" t="s">
        <v>128</v>
      </c>
      <c r="B52" s="23" t="s">
        <v>129</v>
      </c>
      <c r="C52" s="24"/>
      <c r="D52" s="24"/>
      <c r="E52" s="25"/>
      <c r="F52" s="25"/>
      <c r="G52" s="26"/>
      <c r="H52" s="26"/>
      <c r="I52" s="27">
        <f>I53</f>
        <v>65000</v>
      </c>
      <c r="J52" s="27">
        <f t="shared" ref="J52:AM53" si="31">J53</f>
        <v>25000</v>
      </c>
      <c r="K52" s="27">
        <f t="shared" si="31"/>
        <v>5000</v>
      </c>
      <c r="L52" s="27">
        <f t="shared" si="31"/>
        <v>5000</v>
      </c>
      <c r="M52" s="27">
        <f t="shared" si="31"/>
        <v>4853</v>
      </c>
      <c r="N52" s="27">
        <f t="shared" si="31"/>
        <v>4853</v>
      </c>
      <c r="O52" s="27">
        <f t="shared" si="31"/>
        <v>5000</v>
      </c>
      <c r="P52" s="27">
        <f t="shared" si="31"/>
        <v>5000</v>
      </c>
      <c r="Q52" s="27">
        <f t="shared" si="31"/>
        <v>5000</v>
      </c>
      <c r="R52" s="27">
        <f t="shared" si="31"/>
        <v>5000</v>
      </c>
      <c r="S52" s="27">
        <f t="shared" si="31"/>
        <v>42500</v>
      </c>
      <c r="T52" s="27">
        <f t="shared" si="31"/>
        <v>12500</v>
      </c>
      <c r="U52" s="27">
        <f t="shared" si="31"/>
        <v>0</v>
      </c>
      <c r="V52" s="27">
        <f t="shared" si="31"/>
        <v>25000</v>
      </c>
      <c r="W52" s="27">
        <f t="shared" si="31"/>
        <v>0</v>
      </c>
      <c r="X52" s="27">
        <f t="shared" si="31"/>
        <v>0</v>
      </c>
      <c r="Y52" s="27">
        <f t="shared" si="31"/>
        <v>0</v>
      </c>
      <c r="Z52" s="27">
        <f t="shared" si="31"/>
        <v>0</v>
      </c>
      <c r="AA52" s="27">
        <f t="shared" si="31"/>
        <v>12500</v>
      </c>
      <c r="AB52" s="27">
        <f t="shared" si="31"/>
        <v>0</v>
      </c>
      <c r="AC52" s="27">
        <f t="shared" si="31"/>
        <v>0</v>
      </c>
      <c r="AD52" s="27">
        <f t="shared" si="31"/>
        <v>0</v>
      </c>
      <c r="AE52" s="27">
        <f t="shared" si="31"/>
        <v>12500</v>
      </c>
      <c r="AF52" s="27">
        <f t="shared" si="31"/>
        <v>12500</v>
      </c>
      <c r="AG52" s="27">
        <f t="shared" si="31"/>
        <v>0</v>
      </c>
      <c r="AH52" s="27">
        <f t="shared" si="31"/>
        <v>0</v>
      </c>
      <c r="AI52" s="27">
        <f t="shared" si="31"/>
        <v>11000</v>
      </c>
      <c r="AJ52" s="27">
        <f t="shared" si="31"/>
        <v>11000</v>
      </c>
      <c r="AK52" s="27">
        <f t="shared" si="31"/>
        <v>0</v>
      </c>
      <c r="AL52" s="27">
        <f t="shared" si="31"/>
        <v>0</v>
      </c>
      <c r="AM52" s="27">
        <f t="shared" si="31"/>
        <v>0</v>
      </c>
      <c r="AN52" s="28"/>
      <c r="AO52" s="20">
        <f t="shared" si="1"/>
        <v>10000</v>
      </c>
    </row>
    <row r="53" spans="1:41" s="84" customFormat="1" x14ac:dyDescent="0.25">
      <c r="A53" s="65"/>
      <c r="B53" s="30" t="s">
        <v>82</v>
      </c>
      <c r="C53" s="85"/>
      <c r="D53" s="53"/>
      <c r="E53" s="83"/>
      <c r="F53" s="83"/>
      <c r="G53" s="86"/>
      <c r="H53" s="53"/>
      <c r="I53" s="34">
        <f>I54</f>
        <v>65000</v>
      </c>
      <c r="J53" s="34">
        <f t="shared" si="31"/>
        <v>25000</v>
      </c>
      <c r="K53" s="34">
        <f t="shared" si="31"/>
        <v>5000</v>
      </c>
      <c r="L53" s="34">
        <f t="shared" si="31"/>
        <v>5000</v>
      </c>
      <c r="M53" s="34">
        <f t="shared" si="31"/>
        <v>4853</v>
      </c>
      <c r="N53" s="34">
        <f t="shared" si="31"/>
        <v>4853</v>
      </c>
      <c r="O53" s="34">
        <f t="shared" si="31"/>
        <v>5000</v>
      </c>
      <c r="P53" s="34">
        <f t="shared" si="31"/>
        <v>5000</v>
      </c>
      <c r="Q53" s="34">
        <f t="shared" si="31"/>
        <v>5000</v>
      </c>
      <c r="R53" s="34">
        <f t="shared" si="31"/>
        <v>5000</v>
      </c>
      <c r="S53" s="34">
        <f t="shared" si="31"/>
        <v>42500</v>
      </c>
      <c r="T53" s="34">
        <f t="shared" si="31"/>
        <v>12500</v>
      </c>
      <c r="U53" s="34">
        <f t="shared" si="31"/>
        <v>0</v>
      </c>
      <c r="V53" s="34">
        <f t="shared" si="31"/>
        <v>25000</v>
      </c>
      <c r="W53" s="34">
        <f t="shared" si="31"/>
        <v>0</v>
      </c>
      <c r="X53" s="34">
        <f t="shared" si="31"/>
        <v>0</v>
      </c>
      <c r="Y53" s="34">
        <f t="shared" si="31"/>
        <v>0</v>
      </c>
      <c r="Z53" s="34">
        <f t="shared" si="31"/>
        <v>0</v>
      </c>
      <c r="AA53" s="34">
        <f t="shared" si="31"/>
        <v>12500</v>
      </c>
      <c r="AB53" s="34">
        <f t="shared" si="31"/>
        <v>0</v>
      </c>
      <c r="AC53" s="34">
        <f t="shared" si="31"/>
        <v>0</v>
      </c>
      <c r="AD53" s="34">
        <f t="shared" si="31"/>
        <v>0</v>
      </c>
      <c r="AE53" s="34">
        <f t="shared" si="31"/>
        <v>12500</v>
      </c>
      <c r="AF53" s="34">
        <f t="shared" si="31"/>
        <v>12500</v>
      </c>
      <c r="AG53" s="34">
        <f t="shared" si="31"/>
        <v>0</v>
      </c>
      <c r="AH53" s="34">
        <f t="shared" si="31"/>
        <v>0</v>
      </c>
      <c r="AI53" s="34">
        <f t="shared" si="31"/>
        <v>11000</v>
      </c>
      <c r="AJ53" s="34">
        <f t="shared" si="31"/>
        <v>11000</v>
      </c>
      <c r="AK53" s="34">
        <f t="shared" si="31"/>
        <v>0</v>
      </c>
      <c r="AL53" s="34">
        <f t="shared" si="31"/>
        <v>0</v>
      </c>
      <c r="AM53" s="34">
        <f t="shared" si="31"/>
        <v>0</v>
      </c>
      <c r="AN53" s="87"/>
      <c r="AO53" s="20">
        <f t="shared" si="1"/>
        <v>10000</v>
      </c>
    </row>
    <row r="54" spans="1:41" ht="33.75" x14ac:dyDescent="0.25">
      <c r="A54" s="89">
        <v>1</v>
      </c>
      <c r="B54" s="90" t="s">
        <v>130</v>
      </c>
      <c r="C54" s="39">
        <v>7569108</v>
      </c>
      <c r="D54" s="40" t="s">
        <v>40</v>
      </c>
      <c r="E54" s="25"/>
      <c r="F54" s="25"/>
      <c r="G54" s="91" t="s">
        <v>131</v>
      </c>
      <c r="H54" s="39" t="s">
        <v>132</v>
      </c>
      <c r="I54" s="62">
        <v>65000</v>
      </c>
      <c r="J54" s="62">
        <v>25000</v>
      </c>
      <c r="K54" s="42">
        <f t="shared" si="27"/>
        <v>5000</v>
      </c>
      <c r="L54" s="44">
        <v>5000</v>
      </c>
      <c r="M54" s="44">
        <v>4853</v>
      </c>
      <c r="N54" s="44">
        <v>4853</v>
      </c>
      <c r="O54" s="42">
        <f>P54</f>
        <v>5000</v>
      </c>
      <c r="P54" s="44">
        <v>5000</v>
      </c>
      <c r="Q54" s="42">
        <f>R54</f>
        <v>5000</v>
      </c>
      <c r="R54" s="44">
        <v>5000</v>
      </c>
      <c r="S54" s="42">
        <f>42500</f>
        <v>42500</v>
      </c>
      <c r="T54" s="42">
        <f>J54-AE54</f>
        <v>12500</v>
      </c>
      <c r="U54" s="34"/>
      <c r="V54" s="44">
        <v>25000</v>
      </c>
      <c r="W54" s="81"/>
      <c r="X54" s="34"/>
      <c r="Y54" s="34"/>
      <c r="Z54" s="34"/>
      <c r="AA54" s="44">
        <v>12500</v>
      </c>
      <c r="AB54" s="34"/>
      <c r="AC54" s="34"/>
      <c r="AD54" s="34"/>
      <c r="AE54" s="42">
        <f t="shared" si="28"/>
        <v>12500</v>
      </c>
      <c r="AF54" s="42">
        <f t="shared" si="25"/>
        <v>12500</v>
      </c>
      <c r="AG54" s="34"/>
      <c r="AH54" s="34"/>
      <c r="AI54" s="42">
        <f t="shared" si="6"/>
        <v>11000</v>
      </c>
      <c r="AJ54" s="42">
        <v>11000</v>
      </c>
      <c r="AK54" s="42"/>
      <c r="AL54" s="42"/>
      <c r="AM54" s="42"/>
      <c r="AN54" s="28" t="s">
        <v>44</v>
      </c>
      <c r="AO54" s="20">
        <f>ROUND(V54*0.95-AA54,-2)</f>
        <v>11300</v>
      </c>
    </row>
    <row r="55" spans="1:41" x14ac:dyDescent="0.25">
      <c r="A55" s="22" t="s">
        <v>133</v>
      </c>
      <c r="B55" s="23" t="s">
        <v>134</v>
      </c>
      <c r="C55" s="24"/>
      <c r="D55" s="24"/>
      <c r="E55" s="25"/>
      <c r="F55" s="25"/>
      <c r="G55" s="26"/>
      <c r="H55" s="26"/>
      <c r="I55" s="27">
        <f t="shared" ref="I55:AM55" si="32">I56+I61+I67</f>
        <v>569470</v>
      </c>
      <c r="J55" s="27">
        <f t="shared" si="32"/>
        <v>512955</v>
      </c>
      <c r="K55" s="27">
        <f t="shared" si="32"/>
        <v>98672.635000000009</v>
      </c>
      <c r="L55" s="27">
        <f t="shared" si="32"/>
        <v>98672.635000000009</v>
      </c>
      <c r="M55" s="27">
        <f t="shared" si="32"/>
        <v>40379</v>
      </c>
      <c r="N55" s="27">
        <f t="shared" si="32"/>
        <v>40379</v>
      </c>
      <c r="O55" s="27">
        <f t="shared" si="32"/>
        <v>61255.6</v>
      </c>
      <c r="P55" s="27">
        <f t="shared" si="32"/>
        <v>61255.6</v>
      </c>
      <c r="Q55" s="27">
        <f t="shared" si="32"/>
        <v>74100</v>
      </c>
      <c r="R55" s="27">
        <f t="shared" si="32"/>
        <v>74100</v>
      </c>
      <c r="S55" s="27">
        <f t="shared" si="32"/>
        <v>314066.63500000001</v>
      </c>
      <c r="T55" s="27">
        <f t="shared" si="32"/>
        <v>314066.63500000001</v>
      </c>
      <c r="U55" s="27">
        <f t="shared" si="32"/>
        <v>0</v>
      </c>
      <c r="V55" s="27">
        <f t="shared" si="32"/>
        <v>431369</v>
      </c>
      <c r="W55" s="27">
        <f t="shared" si="32"/>
        <v>0</v>
      </c>
      <c r="X55" s="27">
        <f t="shared" si="32"/>
        <v>0</v>
      </c>
      <c r="Y55" s="27">
        <f t="shared" si="32"/>
        <v>0</v>
      </c>
      <c r="Z55" s="27">
        <f t="shared" si="32"/>
        <v>0</v>
      </c>
      <c r="AA55" s="27">
        <f t="shared" si="32"/>
        <v>240136.63500000001</v>
      </c>
      <c r="AB55" s="27">
        <f t="shared" si="32"/>
        <v>0</v>
      </c>
      <c r="AC55" s="27">
        <f t="shared" si="32"/>
        <v>0</v>
      </c>
      <c r="AD55" s="27">
        <f t="shared" si="32"/>
        <v>0</v>
      </c>
      <c r="AE55" s="27">
        <f t="shared" si="32"/>
        <v>191232.36499999999</v>
      </c>
      <c r="AF55" s="27">
        <f t="shared" si="32"/>
        <v>191232.36499999999</v>
      </c>
      <c r="AG55" s="27">
        <f t="shared" si="32"/>
        <v>0</v>
      </c>
      <c r="AH55" s="27">
        <f t="shared" si="32"/>
        <v>0</v>
      </c>
      <c r="AI55" s="27">
        <f t="shared" si="32"/>
        <v>125875</v>
      </c>
      <c r="AJ55" s="27">
        <f t="shared" si="32"/>
        <v>108875</v>
      </c>
      <c r="AK55" s="27">
        <f t="shared" si="32"/>
        <v>17000</v>
      </c>
      <c r="AL55" s="27">
        <f t="shared" si="32"/>
        <v>0</v>
      </c>
      <c r="AM55" s="27">
        <f t="shared" si="32"/>
        <v>0</v>
      </c>
      <c r="AN55" s="28"/>
      <c r="AO55" s="20">
        <f t="shared" si="1"/>
        <v>148100</v>
      </c>
    </row>
    <row r="56" spans="1:41" s="84" customFormat="1" ht="27" x14ac:dyDescent="0.25">
      <c r="A56" s="65" t="s">
        <v>81</v>
      </c>
      <c r="B56" s="30" t="s">
        <v>135</v>
      </c>
      <c r="C56" s="85"/>
      <c r="D56" s="53"/>
      <c r="E56" s="83"/>
      <c r="F56" s="83"/>
      <c r="G56" s="86"/>
      <c r="H56" s="53"/>
      <c r="I56" s="34">
        <f t="shared" ref="I56:AM56" si="33">SUM(I57:I60)</f>
        <v>166929</v>
      </c>
      <c r="J56" s="34">
        <f t="shared" si="33"/>
        <v>110414</v>
      </c>
      <c r="K56" s="34">
        <f t="shared" si="33"/>
        <v>19100</v>
      </c>
      <c r="L56" s="34">
        <f t="shared" si="33"/>
        <v>19100</v>
      </c>
      <c r="M56" s="34">
        <f t="shared" si="33"/>
        <v>4987</v>
      </c>
      <c r="N56" s="34">
        <f t="shared" si="33"/>
        <v>4987</v>
      </c>
      <c r="O56" s="34">
        <f t="shared" si="33"/>
        <v>11460</v>
      </c>
      <c r="P56" s="34">
        <f t="shared" si="33"/>
        <v>11460</v>
      </c>
      <c r="Q56" s="34">
        <f t="shared" si="33"/>
        <v>9600</v>
      </c>
      <c r="R56" s="34">
        <f t="shared" si="33"/>
        <v>9600</v>
      </c>
      <c r="S56" s="34">
        <f t="shared" si="33"/>
        <v>98262</v>
      </c>
      <c r="T56" s="34">
        <f t="shared" si="33"/>
        <v>98262</v>
      </c>
      <c r="U56" s="34">
        <f t="shared" si="33"/>
        <v>0</v>
      </c>
      <c r="V56" s="34">
        <f t="shared" si="33"/>
        <v>87414</v>
      </c>
      <c r="W56" s="34">
        <f t="shared" si="33"/>
        <v>0</v>
      </c>
      <c r="X56" s="34">
        <f t="shared" si="33"/>
        <v>0</v>
      </c>
      <c r="Y56" s="34">
        <f t="shared" si="33"/>
        <v>0</v>
      </c>
      <c r="Z56" s="34">
        <f t="shared" si="33"/>
        <v>0</v>
      </c>
      <c r="AA56" s="34">
        <f t="shared" si="33"/>
        <v>75262</v>
      </c>
      <c r="AB56" s="34">
        <f t="shared" si="33"/>
        <v>0</v>
      </c>
      <c r="AC56" s="34">
        <f t="shared" si="33"/>
        <v>0</v>
      </c>
      <c r="AD56" s="34">
        <f t="shared" si="33"/>
        <v>0</v>
      </c>
      <c r="AE56" s="34">
        <f t="shared" si="33"/>
        <v>12152</v>
      </c>
      <c r="AF56" s="34">
        <f t="shared" si="33"/>
        <v>12152</v>
      </c>
      <c r="AG56" s="34">
        <f t="shared" si="33"/>
        <v>0</v>
      </c>
      <c r="AH56" s="34">
        <f t="shared" si="33"/>
        <v>0</v>
      </c>
      <c r="AI56" s="34">
        <f t="shared" si="33"/>
        <v>9875</v>
      </c>
      <c r="AJ56" s="34">
        <f t="shared" si="33"/>
        <v>9875</v>
      </c>
      <c r="AK56" s="34">
        <f t="shared" si="33"/>
        <v>0</v>
      </c>
      <c r="AL56" s="34">
        <f t="shared" si="33"/>
        <v>0</v>
      </c>
      <c r="AM56" s="34">
        <f t="shared" si="33"/>
        <v>0</v>
      </c>
      <c r="AN56" s="87"/>
      <c r="AO56" s="20">
        <f t="shared" si="1"/>
        <v>3400</v>
      </c>
    </row>
    <row r="57" spans="1:41" s="64" customFormat="1" ht="38.25" x14ac:dyDescent="0.25">
      <c r="A57" s="46">
        <v>1</v>
      </c>
      <c r="B57" s="82" t="s">
        <v>136</v>
      </c>
      <c r="C57" s="40">
        <v>7909971</v>
      </c>
      <c r="D57" s="40" t="s">
        <v>137</v>
      </c>
      <c r="E57" s="61"/>
      <c r="F57" s="61"/>
      <c r="G57" s="73" t="s">
        <v>138</v>
      </c>
      <c r="H57" s="40" t="s">
        <v>139</v>
      </c>
      <c r="I57" s="47">
        <v>21000</v>
      </c>
      <c r="J57" s="47">
        <v>21000</v>
      </c>
      <c r="K57" s="42">
        <f>L57</f>
        <v>9600</v>
      </c>
      <c r="L57" s="62">
        <f>3600+6000</f>
        <v>9600</v>
      </c>
      <c r="M57" s="62"/>
      <c r="N57" s="62"/>
      <c r="O57" s="42">
        <f>P57</f>
        <v>5760</v>
      </c>
      <c r="P57" s="42">
        <f>L57*0.6</f>
        <v>5760</v>
      </c>
      <c r="Q57" s="42">
        <f>R57</f>
        <v>3600</v>
      </c>
      <c r="R57" s="62">
        <v>3600</v>
      </c>
      <c r="S57" s="62">
        <f>3600+6862+6000</f>
        <v>16462</v>
      </c>
      <c r="T57" s="62">
        <f>3600+6862+6000</f>
        <v>16462</v>
      </c>
      <c r="U57" s="63"/>
      <c r="V57" s="62">
        <v>21000</v>
      </c>
      <c r="W57" s="63"/>
      <c r="X57" s="63"/>
      <c r="Y57" s="63"/>
      <c r="Z57" s="63"/>
      <c r="AA57" s="62">
        <f>3600+6862+6000</f>
        <v>16462</v>
      </c>
      <c r="AB57" s="63"/>
      <c r="AC57" s="63"/>
      <c r="AD57" s="63"/>
      <c r="AE57" s="42">
        <f>AF57</f>
        <v>4538</v>
      </c>
      <c r="AF57" s="42">
        <f>V57-AA57</f>
        <v>4538</v>
      </c>
      <c r="AG57" s="34"/>
      <c r="AH57" s="34"/>
      <c r="AI57" s="42">
        <f>SUM(AJ57:AM57)</f>
        <v>4400</v>
      </c>
      <c r="AJ57" s="42">
        <v>4400</v>
      </c>
      <c r="AK57" s="42"/>
      <c r="AL57" s="42"/>
      <c r="AM57" s="42"/>
      <c r="AN57" s="28" t="s">
        <v>140</v>
      </c>
      <c r="AO57" s="20">
        <f>ROUND(V57*0.9-AA57,-2)</f>
        <v>2400</v>
      </c>
    </row>
    <row r="58" spans="1:41" s="64" customFormat="1" ht="38.25" x14ac:dyDescent="0.25">
      <c r="A58" s="46">
        <v>2</v>
      </c>
      <c r="B58" s="82" t="s">
        <v>141</v>
      </c>
      <c r="C58" s="40">
        <v>7906665</v>
      </c>
      <c r="D58" s="40" t="s">
        <v>95</v>
      </c>
      <c r="E58" s="61"/>
      <c r="F58" s="61"/>
      <c r="G58" s="39" t="s">
        <v>142</v>
      </c>
      <c r="H58" s="40" t="s">
        <v>143</v>
      </c>
      <c r="I58" s="47">
        <v>29000</v>
      </c>
      <c r="J58" s="47">
        <v>29000</v>
      </c>
      <c r="K58" s="42">
        <f>L58</f>
        <v>8500</v>
      </c>
      <c r="L58" s="62">
        <v>8500</v>
      </c>
      <c r="M58" s="62">
        <v>4987</v>
      </c>
      <c r="N58" s="62">
        <v>4987</v>
      </c>
      <c r="O58" s="42">
        <f>P58</f>
        <v>5100</v>
      </c>
      <c r="P58" s="42">
        <f>L58*0.6</f>
        <v>5100</v>
      </c>
      <c r="Q58" s="42">
        <f>R58</f>
        <v>5000</v>
      </c>
      <c r="R58" s="62">
        <v>5000</v>
      </c>
      <c r="S58" s="62">
        <f>T58</f>
        <v>23800</v>
      </c>
      <c r="T58" s="62">
        <v>23800</v>
      </c>
      <c r="U58" s="63"/>
      <c r="V58" s="62">
        <v>29000</v>
      </c>
      <c r="W58" s="63"/>
      <c r="X58" s="63"/>
      <c r="Y58" s="63"/>
      <c r="Z58" s="63"/>
      <c r="AA58" s="62">
        <f>20300+3500</f>
        <v>23800</v>
      </c>
      <c r="AB58" s="63"/>
      <c r="AC58" s="63"/>
      <c r="AD58" s="63"/>
      <c r="AE58" s="42">
        <f>AF58</f>
        <v>5200</v>
      </c>
      <c r="AF58" s="42">
        <f>V58-AA58</f>
        <v>5200</v>
      </c>
      <c r="AG58" s="34"/>
      <c r="AH58" s="34"/>
      <c r="AI58" s="42">
        <f>SUM(AJ58:AM58)</f>
        <v>3800</v>
      </c>
      <c r="AJ58" s="42">
        <v>3800</v>
      </c>
      <c r="AK58" s="42"/>
      <c r="AL58" s="42"/>
      <c r="AM58" s="42"/>
      <c r="AN58" s="28" t="s">
        <v>44</v>
      </c>
      <c r="AO58" s="20">
        <f>ROUND(V58*0.95-AA58,-2)</f>
        <v>3800</v>
      </c>
    </row>
    <row r="59" spans="1:41" ht="45" x14ac:dyDescent="0.25">
      <c r="A59" s="46">
        <v>3</v>
      </c>
      <c r="B59" s="92" t="s">
        <v>144</v>
      </c>
      <c r="C59" s="66">
        <v>7813387</v>
      </c>
      <c r="D59" s="93" t="s">
        <v>40</v>
      </c>
      <c r="E59" s="25"/>
      <c r="F59" s="25"/>
      <c r="G59" s="40" t="s">
        <v>42</v>
      </c>
      <c r="H59" s="56" t="s">
        <v>145</v>
      </c>
      <c r="I59" s="62">
        <v>14175</v>
      </c>
      <c r="J59" s="62">
        <v>14175</v>
      </c>
      <c r="K59" s="42">
        <v>1000</v>
      </c>
      <c r="L59" s="44">
        <v>1000</v>
      </c>
      <c r="M59" s="44"/>
      <c r="N59" s="44"/>
      <c r="O59" s="42">
        <v>600</v>
      </c>
      <c r="P59" s="42">
        <v>600</v>
      </c>
      <c r="Q59" s="42">
        <v>1000</v>
      </c>
      <c r="R59" s="44">
        <v>1000</v>
      </c>
      <c r="S59" s="42">
        <v>14000</v>
      </c>
      <c r="T59" s="42">
        <v>14000</v>
      </c>
      <c r="U59" s="44"/>
      <c r="V59" s="44">
        <v>11175</v>
      </c>
      <c r="W59" s="94"/>
      <c r="X59" s="44"/>
      <c r="Y59" s="44"/>
      <c r="Z59" s="44"/>
      <c r="AA59" s="44">
        <v>11000</v>
      </c>
      <c r="AB59" s="44"/>
      <c r="AC59" s="44"/>
      <c r="AD59" s="44"/>
      <c r="AE59" s="42">
        <f t="shared" si="28"/>
        <v>175</v>
      </c>
      <c r="AF59" s="42">
        <f t="shared" si="25"/>
        <v>175</v>
      </c>
      <c r="AG59" s="44"/>
      <c r="AH59" s="44"/>
      <c r="AI59" s="42">
        <f t="shared" si="6"/>
        <v>175</v>
      </c>
      <c r="AJ59" s="42">
        <v>175</v>
      </c>
      <c r="AK59" s="42"/>
      <c r="AL59" s="42"/>
      <c r="AM59" s="42"/>
      <c r="AN59" s="28" t="s">
        <v>44</v>
      </c>
      <c r="AO59" s="20">
        <f t="shared" ref="AO59:AO96" si="34">ROUND(V59*0.9-AA59,-2)</f>
        <v>-900</v>
      </c>
    </row>
    <row r="60" spans="1:41" ht="38.25" x14ac:dyDescent="0.25">
      <c r="A60" s="46">
        <v>4</v>
      </c>
      <c r="B60" s="92" t="s">
        <v>146</v>
      </c>
      <c r="C60" s="24">
        <v>7795520</v>
      </c>
      <c r="D60" s="40" t="s">
        <v>40</v>
      </c>
      <c r="E60" s="25"/>
      <c r="F60" s="25"/>
      <c r="G60" s="40" t="s">
        <v>105</v>
      </c>
      <c r="H60" s="56" t="s">
        <v>147</v>
      </c>
      <c r="I60" s="62">
        <v>102754</v>
      </c>
      <c r="J60" s="62">
        <v>46239</v>
      </c>
      <c r="K60" s="42">
        <v>0</v>
      </c>
      <c r="L60" s="44"/>
      <c r="M60" s="44"/>
      <c r="N60" s="44"/>
      <c r="O60" s="42">
        <v>0</v>
      </c>
      <c r="P60" s="42">
        <v>0</v>
      </c>
      <c r="Q60" s="42">
        <v>0</v>
      </c>
      <c r="R60" s="44"/>
      <c r="S60" s="42">
        <v>44000</v>
      </c>
      <c r="T60" s="42">
        <v>44000</v>
      </c>
      <c r="U60" s="44"/>
      <c r="V60" s="44">
        <v>26239</v>
      </c>
      <c r="W60" s="94"/>
      <c r="X60" s="44"/>
      <c r="Y60" s="44"/>
      <c r="Z60" s="44"/>
      <c r="AA60" s="44">
        <v>24000</v>
      </c>
      <c r="AB60" s="44"/>
      <c r="AC60" s="44"/>
      <c r="AD60" s="44"/>
      <c r="AE60" s="42">
        <f t="shared" si="28"/>
        <v>2239</v>
      </c>
      <c r="AF60" s="42">
        <f t="shared" si="25"/>
        <v>2239</v>
      </c>
      <c r="AG60" s="44"/>
      <c r="AH60" s="44"/>
      <c r="AI60" s="42">
        <f t="shared" ref="AI60:AI123" si="35">SUM(AJ60:AM60)</f>
        <v>1500</v>
      </c>
      <c r="AJ60" s="42">
        <v>1500</v>
      </c>
      <c r="AK60" s="42"/>
      <c r="AL60" s="42"/>
      <c r="AM60" s="42"/>
      <c r="AN60" s="28" t="s">
        <v>44</v>
      </c>
      <c r="AO60" s="20">
        <f t="shared" si="34"/>
        <v>-400</v>
      </c>
    </row>
    <row r="61" spans="1:41" s="64" customFormat="1" ht="27" x14ac:dyDescent="0.25">
      <c r="A61" s="65" t="s">
        <v>92</v>
      </c>
      <c r="B61" s="95" t="s">
        <v>148</v>
      </c>
      <c r="C61" s="78"/>
      <c r="D61" s="96"/>
      <c r="E61" s="61"/>
      <c r="F61" s="61"/>
      <c r="G61" s="79"/>
      <c r="H61" s="97"/>
      <c r="I61" s="63">
        <f>SUM(I62:I66)</f>
        <v>332541</v>
      </c>
      <c r="J61" s="63">
        <f t="shared" ref="J61:AM61" si="36">SUM(J62:J66)</f>
        <v>332541</v>
      </c>
      <c r="K61" s="63">
        <f t="shared" si="36"/>
        <v>61876.635000000002</v>
      </c>
      <c r="L61" s="63">
        <f t="shared" si="36"/>
        <v>61876.635000000002</v>
      </c>
      <c r="M61" s="63">
        <f t="shared" si="36"/>
        <v>30405</v>
      </c>
      <c r="N61" s="63">
        <f t="shared" si="36"/>
        <v>30405</v>
      </c>
      <c r="O61" s="63">
        <f t="shared" si="36"/>
        <v>39178</v>
      </c>
      <c r="P61" s="63">
        <f t="shared" si="36"/>
        <v>39178</v>
      </c>
      <c r="Q61" s="63">
        <f t="shared" si="36"/>
        <v>59500</v>
      </c>
      <c r="R61" s="63">
        <f t="shared" si="36"/>
        <v>59500</v>
      </c>
      <c r="S61" s="63">
        <f t="shared" si="36"/>
        <v>197458.63500000001</v>
      </c>
      <c r="T61" s="63">
        <f t="shared" si="36"/>
        <v>197458.63500000001</v>
      </c>
      <c r="U61" s="63">
        <f t="shared" si="36"/>
        <v>0</v>
      </c>
      <c r="V61" s="63">
        <f t="shared" si="36"/>
        <v>273955</v>
      </c>
      <c r="W61" s="63">
        <f t="shared" si="36"/>
        <v>0</v>
      </c>
      <c r="X61" s="63">
        <f t="shared" si="36"/>
        <v>0</v>
      </c>
      <c r="Y61" s="63">
        <f t="shared" si="36"/>
        <v>0</v>
      </c>
      <c r="Z61" s="63">
        <f t="shared" si="36"/>
        <v>0</v>
      </c>
      <c r="AA61" s="63">
        <f t="shared" si="36"/>
        <v>146528.63500000001</v>
      </c>
      <c r="AB61" s="63">
        <f t="shared" si="36"/>
        <v>0</v>
      </c>
      <c r="AC61" s="63">
        <f t="shared" si="36"/>
        <v>0</v>
      </c>
      <c r="AD61" s="63">
        <f t="shared" si="36"/>
        <v>0</v>
      </c>
      <c r="AE61" s="63">
        <f t="shared" si="36"/>
        <v>127426.36499999999</v>
      </c>
      <c r="AF61" s="63">
        <f t="shared" si="36"/>
        <v>127426.36499999999</v>
      </c>
      <c r="AG61" s="63">
        <f t="shared" si="36"/>
        <v>0</v>
      </c>
      <c r="AH61" s="63">
        <f t="shared" si="36"/>
        <v>0</v>
      </c>
      <c r="AI61" s="98">
        <f t="shared" si="36"/>
        <v>96000</v>
      </c>
      <c r="AJ61" s="63">
        <f t="shared" si="36"/>
        <v>79000</v>
      </c>
      <c r="AK61" s="63">
        <f t="shared" si="36"/>
        <v>17000</v>
      </c>
      <c r="AL61" s="63">
        <f t="shared" si="36"/>
        <v>0</v>
      </c>
      <c r="AM61" s="63">
        <f t="shared" si="36"/>
        <v>0</v>
      </c>
      <c r="AN61" s="35"/>
      <c r="AO61" s="20">
        <f t="shared" si="34"/>
        <v>100000</v>
      </c>
    </row>
    <row r="62" spans="1:41" s="64" customFormat="1" ht="33.75" x14ac:dyDescent="0.25">
      <c r="A62" s="46">
        <v>1</v>
      </c>
      <c r="B62" s="82" t="s">
        <v>149</v>
      </c>
      <c r="C62" s="40">
        <v>7926677</v>
      </c>
      <c r="D62" s="40" t="s">
        <v>40</v>
      </c>
      <c r="E62" s="61"/>
      <c r="F62" s="61"/>
      <c r="G62" s="40" t="s">
        <v>150</v>
      </c>
      <c r="H62" s="40" t="s">
        <v>151</v>
      </c>
      <c r="I62" s="47">
        <v>37000</v>
      </c>
      <c r="J62" s="47">
        <v>37000</v>
      </c>
      <c r="K62" s="42">
        <f t="shared" ref="K62:K86" si="37">L62</f>
        <v>0</v>
      </c>
      <c r="L62" s="62"/>
      <c r="M62" s="62"/>
      <c r="N62" s="62"/>
      <c r="O62" s="42">
        <f t="shared" ref="O62:O66" si="38">P62</f>
        <v>0</v>
      </c>
      <c r="P62" s="42">
        <f>L62*0.6</f>
        <v>0</v>
      </c>
      <c r="Q62" s="42">
        <f t="shared" ref="Q62:Q66" si="39">R62</f>
        <v>8500</v>
      </c>
      <c r="R62" s="62">
        <v>8500</v>
      </c>
      <c r="S62" s="62">
        <f>18500-8500</f>
        <v>10000</v>
      </c>
      <c r="T62" s="62">
        <f>18500-8500</f>
        <v>10000</v>
      </c>
      <c r="U62" s="99"/>
      <c r="V62" s="62">
        <v>37000</v>
      </c>
      <c r="W62" s="99"/>
      <c r="X62" s="99"/>
      <c r="Y62" s="99"/>
      <c r="Z62" s="99"/>
      <c r="AA62" s="62">
        <v>10000</v>
      </c>
      <c r="AB62" s="99"/>
      <c r="AC62" s="99"/>
      <c r="AD62" s="99"/>
      <c r="AE62" s="42">
        <f t="shared" si="28"/>
        <v>27000</v>
      </c>
      <c r="AF62" s="42">
        <f t="shared" si="25"/>
        <v>27000</v>
      </c>
      <c r="AG62" s="34"/>
      <c r="AH62" s="34"/>
      <c r="AI62" s="42">
        <f t="shared" si="35"/>
        <v>17000</v>
      </c>
      <c r="AJ62" s="42"/>
      <c r="AK62" s="42">
        <v>17000</v>
      </c>
      <c r="AL62" s="42"/>
      <c r="AM62" s="42"/>
      <c r="AN62" s="28" t="s">
        <v>44</v>
      </c>
      <c r="AO62" s="20">
        <f>ROUND(V62*0.75-AA62,-2)</f>
        <v>17800</v>
      </c>
    </row>
    <row r="63" spans="1:41" ht="48" customHeight="1" x14ac:dyDescent="0.25">
      <c r="A63" s="89">
        <v>2</v>
      </c>
      <c r="B63" s="92" t="s">
        <v>152</v>
      </c>
      <c r="C63" s="66">
        <v>7816405</v>
      </c>
      <c r="D63" s="93" t="s">
        <v>153</v>
      </c>
      <c r="E63" s="25"/>
      <c r="F63" s="25"/>
      <c r="G63" s="40" t="s">
        <v>42</v>
      </c>
      <c r="H63" s="56" t="s">
        <v>154</v>
      </c>
      <c r="I63" s="62">
        <v>111591</v>
      </c>
      <c r="J63" s="62">
        <v>111591</v>
      </c>
      <c r="K63" s="44">
        <v>2500</v>
      </c>
      <c r="L63" s="44">
        <v>2500</v>
      </c>
      <c r="M63" s="44">
        <v>228</v>
      </c>
      <c r="N63" s="44">
        <v>228</v>
      </c>
      <c r="O63" s="42">
        <v>4800</v>
      </c>
      <c r="P63" s="42">
        <v>4800</v>
      </c>
      <c r="Q63" s="42">
        <v>8000</v>
      </c>
      <c r="R63" s="44">
        <v>8000</v>
      </c>
      <c r="S63" s="42">
        <v>104246</v>
      </c>
      <c r="T63" s="42">
        <v>104246</v>
      </c>
      <c r="U63" s="44"/>
      <c r="V63" s="44">
        <v>53005</v>
      </c>
      <c r="W63" s="94"/>
      <c r="X63" s="44"/>
      <c r="Y63" s="44"/>
      <c r="Z63" s="44"/>
      <c r="AA63" s="44">
        <f>45815-5500</f>
        <v>40315</v>
      </c>
      <c r="AB63" s="44"/>
      <c r="AC63" s="44"/>
      <c r="AD63" s="44"/>
      <c r="AE63" s="42">
        <f>AF63</f>
        <v>12690</v>
      </c>
      <c r="AF63" s="42">
        <f>V63-AA63</f>
        <v>12690</v>
      </c>
      <c r="AG63" s="44"/>
      <c r="AH63" s="44"/>
      <c r="AI63" s="42">
        <f>SUM(AJ63:AM63)</f>
        <v>7000</v>
      </c>
      <c r="AJ63" s="42">
        <v>7000</v>
      </c>
      <c r="AK63" s="42"/>
      <c r="AL63" s="42"/>
      <c r="AM63" s="42"/>
      <c r="AN63" s="28" t="s">
        <v>44</v>
      </c>
      <c r="AO63" s="20">
        <f>ROUND(V63*0.9-AA63,-2)</f>
        <v>7400</v>
      </c>
    </row>
    <row r="64" spans="1:41" s="64" customFormat="1" ht="101.25" x14ac:dyDescent="0.25">
      <c r="A64" s="46">
        <v>3</v>
      </c>
      <c r="B64" s="100" t="s">
        <v>155</v>
      </c>
      <c r="C64" s="39">
        <v>7900634</v>
      </c>
      <c r="D64" s="40" t="s">
        <v>156</v>
      </c>
      <c r="E64" s="61"/>
      <c r="F64" s="61"/>
      <c r="G64" s="73" t="s">
        <v>96</v>
      </c>
      <c r="H64" s="40" t="s">
        <v>157</v>
      </c>
      <c r="I64" s="47">
        <v>79000</v>
      </c>
      <c r="J64" s="47">
        <v>79000</v>
      </c>
      <c r="K64" s="42">
        <f t="shared" si="37"/>
        <v>31376.635000000002</v>
      </c>
      <c r="L64" s="62">
        <v>31376.635000000002</v>
      </c>
      <c r="M64" s="62">
        <v>9578</v>
      </c>
      <c r="N64" s="62">
        <v>9578</v>
      </c>
      <c r="O64" s="62">
        <v>9578</v>
      </c>
      <c r="P64" s="62">
        <v>9578</v>
      </c>
      <c r="Q64" s="42">
        <f t="shared" si="39"/>
        <v>15000</v>
      </c>
      <c r="R64" s="62">
        <v>15000</v>
      </c>
      <c r="S64" s="62">
        <f>K64+13001</f>
        <v>44377.635000000002</v>
      </c>
      <c r="T64" s="62">
        <f>L64+13001</f>
        <v>44377.635000000002</v>
      </c>
      <c r="U64" s="99"/>
      <c r="V64" s="62">
        <v>79000</v>
      </c>
      <c r="W64" s="99"/>
      <c r="X64" s="99"/>
      <c r="Y64" s="99"/>
      <c r="Z64" s="99"/>
      <c r="AA64" s="62">
        <f>S64+13001</f>
        <v>57378.635000000002</v>
      </c>
      <c r="AB64" s="99"/>
      <c r="AC64" s="99"/>
      <c r="AD64" s="99"/>
      <c r="AE64" s="42">
        <f t="shared" si="28"/>
        <v>21621.364999999998</v>
      </c>
      <c r="AF64" s="42">
        <f t="shared" si="25"/>
        <v>21621.364999999998</v>
      </c>
      <c r="AG64" s="18"/>
      <c r="AH64" s="18"/>
      <c r="AI64" s="42">
        <f t="shared" si="35"/>
        <v>15000</v>
      </c>
      <c r="AJ64" s="42">
        <v>15000</v>
      </c>
      <c r="AK64" s="42"/>
      <c r="AL64" s="42"/>
      <c r="AM64" s="42"/>
      <c r="AN64" s="28" t="s">
        <v>44</v>
      </c>
      <c r="AO64" s="20">
        <f t="shared" si="34"/>
        <v>13700</v>
      </c>
    </row>
    <row r="65" spans="1:41" s="64" customFormat="1" ht="66.75" customHeight="1" x14ac:dyDescent="0.25">
      <c r="A65" s="89">
        <v>4</v>
      </c>
      <c r="B65" s="38" t="s">
        <v>158</v>
      </c>
      <c r="C65" s="39">
        <v>7949155</v>
      </c>
      <c r="D65" s="40" t="s">
        <v>84</v>
      </c>
      <c r="E65" s="61"/>
      <c r="F65" s="61" t="s">
        <v>41</v>
      </c>
      <c r="G65" s="40" t="s">
        <v>85</v>
      </c>
      <c r="H65" s="40" t="s">
        <v>159</v>
      </c>
      <c r="I65" s="47">
        <v>29950</v>
      </c>
      <c r="J65" s="47">
        <v>29950</v>
      </c>
      <c r="K65" s="42">
        <f t="shared" si="37"/>
        <v>8000</v>
      </c>
      <c r="L65" s="62">
        <v>8000</v>
      </c>
      <c r="M65" s="62">
        <v>2118</v>
      </c>
      <c r="N65" s="62">
        <v>2118</v>
      </c>
      <c r="O65" s="42">
        <f t="shared" si="38"/>
        <v>4800</v>
      </c>
      <c r="P65" s="42">
        <f>L65*0.6</f>
        <v>4800</v>
      </c>
      <c r="Q65" s="42">
        <f t="shared" si="39"/>
        <v>8000</v>
      </c>
      <c r="R65" s="62">
        <v>8000</v>
      </c>
      <c r="S65" s="62">
        <v>15000</v>
      </c>
      <c r="T65" s="62">
        <v>15000</v>
      </c>
      <c r="U65" s="99"/>
      <c r="V65" s="62">
        <v>29950</v>
      </c>
      <c r="W65" s="99"/>
      <c r="X65" s="99"/>
      <c r="Y65" s="99"/>
      <c r="Z65" s="99"/>
      <c r="AA65" s="62">
        <v>15000</v>
      </c>
      <c r="AB65" s="99"/>
      <c r="AC65" s="99"/>
      <c r="AD65" s="99"/>
      <c r="AE65" s="42">
        <f t="shared" si="28"/>
        <v>14950</v>
      </c>
      <c r="AF65" s="42">
        <f t="shared" si="25"/>
        <v>14950</v>
      </c>
      <c r="AG65" s="18"/>
      <c r="AH65" s="18"/>
      <c r="AI65" s="42">
        <f t="shared" si="35"/>
        <v>12000</v>
      </c>
      <c r="AJ65" s="42">
        <v>12000</v>
      </c>
      <c r="AK65" s="42"/>
      <c r="AL65" s="42"/>
      <c r="AM65" s="42"/>
      <c r="AN65" s="28" t="s">
        <v>44</v>
      </c>
      <c r="AO65" s="20">
        <f>ROUND(V65*0.92-AA65,-2)</f>
        <v>12600</v>
      </c>
    </row>
    <row r="66" spans="1:41" s="64" customFormat="1" ht="45" x14ac:dyDescent="0.25">
      <c r="A66" s="46">
        <v>5</v>
      </c>
      <c r="B66" s="100" t="s">
        <v>160</v>
      </c>
      <c r="C66" s="40">
        <v>7900637</v>
      </c>
      <c r="D66" s="40" t="s">
        <v>161</v>
      </c>
      <c r="E66" s="61"/>
      <c r="F66" s="61" t="s">
        <v>41</v>
      </c>
      <c r="G66" s="73" t="s">
        <v>96</v>
      </c>
      <c r="H66" s="40" t="s">
        <v>162</v>
      </c>
      <c r="I66" s="47">
        <v>75000</v>
      </c>
      <c r="J66" s="47">
        <v>75000</v>
      </c>
      <c r="K66" s="42">
        <f t="shared" si="37"/>
        <v>20000</v>
      </c>
      <c r="L66" s="62">
        <v>20000</v>
      </c>
      <c r="M66" s="62">
        <v>18481</v>
      </c>
      <c r="N66" s="62">
        <v>18481</v>
      </c>
      <c r="O66" s="42">
        <f t="shared" si="38"/>
        <v>20000</v>
      </c>
      <c r="P66" s="62">
        <v>20000</v>
      </c>
      <c r="Q66" s="42">
        <f t="shared" si="39"/>
        <v>20000</v>
      </c>
      <c r="R66" s="62">
        <v>20000</v>
      </c>
      <c r="S66" s="62">
        <f>3835+20000</f>
        <v>23835</v>
      </c>
      <c r="T66" s="62">
        <f>3835+20000</f>
        <v>23835</v>
      </c>
      <c r="U66" s="99"/>
      <c r="V66" s="62">
        <v>75000</v>
      </c>
      <c r="W66" s="99"/>
      <c r="X66" s="99"/>
      <c r="Y66" s="99"/>
      <c r="Z66" s="99"/>
      <c r="AA66" s="62">
        <f>3835+20000</f>
        <v>23835</v>
      </c>
      <c r="AB66" s="99"/>
      <c r="AC66" s="99"/>
      <c r="AD66" s="99"/>
      <c r="AE66" s="42">
        <f t="shared" si="28"/>
        <v>51165</v>
      </c>
      <c r="AF66" s="42">
        <f t="shared" si="25"/>
        <v>51165</v>
      </c>
      <c r="AG66" s="18"/>
      <c r="AH66" s="18"/>
      <c r="AI66" s="42">
        <f t="shared" si="35"/>
        <v>45000</v>
      </c>
      <c r="AJ66" s="42">
        <v>45000</v>
      </c>
      <c r="AK66" s="42"/>
      <c r="AL66" s="42"/>
      <c r="AM66" s="42"/>
      <c r="AN66" s="28" t="s">
        <v>44</v>
      </c>
      <c r="AO66" s="20">
        <f>ROUND(V66*0.92-AA66,-2)</f>
        <v>45200</v>
      </c>
    </row>
    <row r="67" spans="1:41" s="64" customFormat="1" ht="27" x14ac:dyDescent="0.25">
      <c r="A67" s="65" t="s">
        <v>163</v>
      </c>
      <c r="B67" s="95" t="s">
        <v>164</v>
      </c>
      <c r="C67" s="78"/>
      <c r="D67" s="96"/>
      <c r="E67" s="61"/>
      <c r="F67" s="61"/>
      <c r="G67" s="79"/>
      <c r="H67" s="97"/>
      <c r="I67" s="63">
        <f>I68</f>
        <v>70000</v>
      </c>
      <c r="J67" s="63">
        <f t="shared" ref="J67:AM67" si="40">J68</f>
        <v>70000</v>
      </c>
      <c r="K67" s="63">
        <f t="shared" si="40"/>
        <v>17696</v>
      </c>
      <c r="L67" s="63">
        <f t="shared" si="40"/>
        <v>17696</v>
      </c>
      <c r="M67" s="63">
        <f t="shared" si="40"/>
        <v>4987</v>
      </c>
      <c r="N67" s="63">
        <f t="shared" si="40"/>
        <v>4987</v>
      </c>
      <c r="O67" s="63">
        <f t="shared" si="40"/>
        <v>10617.6</v>
      </c>
      <c r="P67" s="63">
        <f t="shared" si="40"/>
        <v>10617.6</v>
      </c>
      <c r="Q67" s="63">
        <f t="shared" si="40"/>
        <v>5000</v>
      </c>
      <c r="R67" s="63">
        <f t="shared" si="40"/>
        <v>5000</v>
      </c>
      <c r="S67" s="63">
        <f t="shared" si="40"/>
        <v>18346</v>
      </c>
      <c r="T67" s="63">
        <f t="shared" si="40"/>
        <v>18346</v>
      </c>
      <c r="U67" s="63">
        <f t="shared" si="40"/>
        <v>0</v>
      </c>
      <c r="V67" s="63">
        <f t="shared" si="40"/>
        <v>70000</v>
      </c>
      <c r="W67" s="63">
        <f t="shared" si="40"/>
        <v>0</v>
      </c>
      <c r="X67" s="63">
        <f t="shared" si="40"/>
        <v>0</v>
      </c>
      <c r="Y67" s="63">
        <f t="shared" si="40"/>
        <v>0</v>
      </c>
      <c r="Z67" s="63">
        <f t="shared" si="40"/>
        <v>0</v>
      </c>
      <c r="AA67" s="63">
        <f t="shared" si="40"/>
        <v>18346</v>
      </c>
      <c r="AB67" s="63">
        <f t="shared" si="40"/>
        <v>0</v>
      </c>
      <c r="AC67" s="63">
        <f t="shared" si="40"/>
        <v>0</v>
      </c>
      <c r="AD67" s="63">
        <f t="shared" si="40"/>
        <v>0</v>
      </c>
      <c r="AE67" s="63">
        <f t="shared" si="40"/>
        <v>51654</v>
      </c>
      <c r="AF67" s="63">
        <f t="shared" si="40"/>
        <v>51654</v>
      </c>
      <c r="AG67" s="63">
        <f t="shared" si="40"/>
        <v>0</v>
      </c>
      <c r="AH67" s="63">
        <f t="shared" si="40"/>
        <v>0</v>
      </c>
      <c r="AI67" s="98">
        <f t="shared" si="40"/>
        <v>20000</v>
      </c>
      <c r="AJ67" s="63">
        <f t="shared" si="40"/>
        <v>20000</v>
      </c>
      <c r="AK67" s="63">
        <f t="shared" si="40"/>
        <v>0</v>
      </c>
      <c r="AL67" s="63">
        <f t="shared" si="40"/>
        <v>0</v>
      </c>
      <c r="AM67" s="63">
        <f t="shared" si="40"/>
        <v>0</v>
      </c>
      <c r="AN67" s="35"/>
      <c r="AO67" s="20">
        <f t="shared" si="34"/>
        <v>44700</v>
      </c>
    </row>
    <row r="68" spans="1:41" s="64" customFormat="1" ht="58.5" customHeight="1" x14ac:dyDescent="0.25">
      <c r="A68" s="46">
        <v>1</v>
      </c>
      <c r="B68" s="38" t="s">
        <v>165</v>
      </c>
      <c r="C68" s="24">
        <v>7900392</v>
      </c>
      <c r="D68" s="40" t="s">
        <v>166</v>
      </c>
      <c r="E68" s="61" t="s">
        <v>167</v>
      </c>
      <c r="F68" s="61"/>
      <c r="G68" s="73" t="s">
        <v>96</v>
      </c>
      <c r="H68" s="40" t="s">
        <v>168</v>
      </c>
      <c r="I68" s="47">
        <v>70000</v>
      </c>
      <c r="J68" s="47">
        <v>70000</v>
      </c>
      <c r="K68" s="42">
        <f>L68</f>
        <v>17696</v>
      </c>
      <c r="L68" s="62">
        <v>17696</v>
      </c>
      <c r="M68" s="62">
        <v>4987</v>
      </c>
      <c r="N68" s="62">
        <v>4987</v>
      </c>
      <c r="O68" s="42">
        <f>P68</f>
        <v>10617.6</v>
      </c>
      <c r="P68" s="62">
        <f>L68*0.6</f>
        <v>10617.6</v>
      </c>
      <c r="Q68" s="42">
        <f>R68</f>
        <v>5000</v>
      </c>
      <c r="R68" s="62">
        <v>5000</v>
      </c>
      <c r="S68" s="62">
        <f>T68</f>
        <v>18346</v>
      </c>
      <c r="T68" s="62">
        <v>18346</v>
      </c>
      <c r="U68" s="99"/>
      <c r="V68" s="62">
        <v>70000</v>
      </c>
      <c r="W68" s="99"/>
      <c r="X68" s="99"/>
      <c r="Y68" s="99"/>
      <c r="Z68" s="99"/>
      <c r="AA68" s="62">
        <v>18346</v>
      </c>
      <c r="AB68" s="99"/>
      <c r="AC68" s="99"/>
      <c r="AD68" s="99"/>
      <c r="AE68" s="42">
        <f>AF68</f>
        <v>51654</v>
      </c>
      <c r="AF68" s="42">
        <f>V68-AA68</f>
        <v>51654</v>
      </c>
      <c r="AG68" s="18"/>
      <c r="AH68" s="18"/>
      <c r="AI68" s="42">
        <f>SUM(AJ68:AM68)</f>
        <v>20000</v>
      </c>
      <c r="AJ68" s="42">
        <v>20000</v>
      </c>
      <c r="AK68" s="42"/>
      <c r="AL68" s="42"/>
      <c r="AM68" s="42"/>
      <c r="AN68" s="28" t="s">
        <v>44</v>
      </c>
      <c r="AO68" s="20">
        <f>ROUND(V68*0.6-AA68,-2)</f>
        <v>23700</v>
      </c>
    </row>
    <row r="69" spans="1:41" x14ac:dyDescent="0.25">
      <c r="A69" s="22" t="s">
        <v>169</v>
      </c>
      <c r="B69" s="23" t="s">
        <v>170</v>
      </c>
      <c r="C69" s="24"/>
      <c r="D69" s="24"/>
      <c r="E69" s="25"/>
      <c r="F69" s="25"/>
      <c r="G69" s="26"/>
      <c r="H69" s="26"/>
      <c r="I69" s="27">
        <f>I70</f>
        <v>183869</v>
      </c>
      <c r="J69" s="27">
        <f t="shared" ref="J69:AM69" si="41">J70</f>
        <v>181228</v>
      </c>
      <c r="K69" s="27">
        <f t="shared" si="41"/>
        <v>65500</v>
      </c>
      <c r="L69" s="27">
        <f t="shared" si="41"/>
        <v>65500</v>
      </c>
      <c r="M69" s="27">
        <f t="shared" si="41"/>
        <v>23882</v>
      </c>
      <c r="N69" s="27">
        <f t="shared" si="41"/>
        <v>23882</v>
      </c>
      <c r="O69" s="27">
        <f t="shared" si="41"/>
        <v>44000</v>
      </c>
      <c r="P69" s="27">
        <f t="shared" si="41"/>
        <v>44000</v>
      </c>
      <c r="Q69" s="27">
        <f t="shared" si="41"/>
        <v>53000</v>
      </c>
      <c r="R69" s="27">
        <f t="shared" si="41"/>
        <v>53000</v>
      </c>
      <c r="S69" s="27">
        <f t="shared" si="41"/>
        <v>98836</v>
      </c>
      <c r="T69" s="27">
        <f t="shared" si="41"/>
        <v>96195</v>
      </c>
      <c r="U69" s="27">
        <f t="shared" si="41"/>
        <v>34555</v>
      </c>
      <c r="V69" s="27">
        <f t="shared" si="41"/>
        <v>166233</v>
      </c>
      <c r="W69" s="27">
        <f t="shared" si="41"/>
        <v>0</v>
      </c>
      <c r="X69" s="27">
        <f t="shared" si="41"/>
        <v>0</v>
      </c>
      <c r="Y69" s="27">
        <f t="shared" si="41"/>
        <v>0</v>
      </c>
      <c r="Z69" s="27">
        <f t="shared" si="41"/>
        <v>10000</v>
      </c>
      <c r="AA69" s="27">
        <f t="shared" si="41"/>
        <v>94200</v>
      </c>
      <c r="AB69" s="27">
        <f t="shared" si="41"/>
        <v>0</v>
      </c>
      <c r="AC69" s="27">
        <f t="shared" si="41"/>
        <v>0</v>
      </c>
      <c r="AD69" s="27">
        <f t="shared" si="41"/>
        <v>0</v>
      </c>
      <c r="AE69" s="27">
        <f t="shared" si="41"/>
        <v>72033</v>
      </c>
      <c r="AF69" s="27">
        <f t="shared" si="41"/>
        <v>72033</v>
      </c>
      <c r="AG69" s="27">
        <f t="shared" si="41"/>
        <v>0</v>
      </c>
      <c r="AH69" s="27">
        <f t="shared" si="41"/>
        <v>0</v>
      </c>
      <c r="AI69" s="27">
        <f t="shared" si="41"/>
        <v>54300</v>
      </c>
      <c r="AJ69" s="27">
        <f t="shared" si="41"/>
        <v>40300</v>
      </c>
      <c r="AK69" s="27">
        <f t="shared" si="41"/>
        <v>14000</v>
      </c>
      <c r="AL69" s="27">
        <f t="shared" si="41"/>
        <v>0</v>
      </c>
      <c r="AM69" s="27">
        <f t="shared" si="41"/>
        <v>0</v>
      </c>
      <c r="AN69" s="28"/>
      <c r="AO69" s="20">
        <f t="shared" si="34"/>
        <v>55400</v>
      </c>
    </row>
    <row r="70" spans="1:41" ht="27" x14ac:dyDescent="0.25">
      <c r="A70" s="65"/>
      <c r="B70" s="30" t="s">
        <v>93</v>
      </c>
      <c r="C70" s="24"/>
      <c r="D70" s="53"/>
      <c r="E70" s="25"/>
      <c r="F70" s="25"/>
      <c r="G70" s="26"/>
      <c r="H70" s="53"/>
      <c r="I70" s="34">
        <f>SUM(I71:I76)</f>
        <v>183869</v>
      </c>
      <c r="J70" s="34">
        <f t="shared" ref="J70:AM70" si="42">SUM(J71:J76)</f>
        <v>181228</v>
      </c>
      <c r="K70" s="34">
        <f t="shared" si="42"/>
        <v>65500</v>
      </c>
      <c r="L70" s="34">
        <f t="shared" si="42"/>
        <v>65500</v>
      </c>
      <c r="M70" s="34">
        <f t="shared" si="42"/>
        <v>23882</v>
      </c>
      <c r="N70" s="34">
        <f t="shared" si="42"/>
        <v>23882</v>
      </c>
      <c r="O70" s="34">
        <f t="shared" si="42"/>
        <v>44000</v>
      </c>
      <c r="P70" s="34">
        <f t="shared" si="42"/>
        <v>44000</v>
      </c>
      <c r="Q70" s="34">
        <f t="shared" si="42"/>
        <v>53000</v>
      </c>
      <c r="R70" s="34">
        <f t="shared" si="42"/>
        <v>53000</v>
      </c>
      <c r="S70" s="34">
        <f t="shared" si="42"/>
        <v>98836</v>
      </c>
      <c r="T70" s="34">
        <f t="shared" si="42"/>
        <v>96195</v>
      </c>
      <c r="U70" s="34">
        <f t="shared" si="42"/>
        <v>34555</v>
      </c>
      <c r="V70" s="34">
        <f t="shared" si="42"/>
        <v>166233</v>
      </c>
      <c r="W70" s="34">
        <f t="shared" si="42"/>
        <v>0</v>
      </c>
      <c r="X70" s="34">
        <f t="shared" si="42"/>
        <v>0</v>
      </c>
      <c r="Y70" s="34">
        <f t="shared" si="42"/>
        <v>0</v>
      </c>
      <c r="Z70" s="34">
        <f t="shared" si="42"/>
        <v>10000</v>
      </c>
      <c r="AA70" s="34">
        <f t="shared" si="42"/>
        <v>94200</v>
      </c>
      <c r="AB70" s="34">
        <f t="shared" si="42"/>
        <v>0</v>
      </c>
      <c r="AC70" s="34">
        <f t="shared" si="42"/>
        <v>0</v>
      </c>
      <c r="AD70" s="34">
        <f t="shared" si="42"/>
        <v>0</v>
      </c>
      <c r="AE70" s="34">
        <f t="shared" si="42"/>
        <v>72033</v>
      </c>
      <c r="AF70" s="34">
        <f t="shared" si="42"/>
        <v>72033</v>
      </c>
      <c r="AG70" s="34">
        <f t="shared" si="42"/>
        <v>0</v>
      </c>
      <c r="AH70" s="34">
        <f t="shared" si="42"/>
        <v>0</v>
      </c>
      <c r="AI70" s="34">
        <f t="shared" si="42"/>
        <v>54300</v>
      </c>
      <c r="AJ70" s="34">
        <f t="shared" si="42"/>
        <v>40300</v>
      </c>
      <c r="AK70" s="34">
        <f t="shared" si="42"/>
        <v>14000</v>
      </c>
      <c r="AL70" s="34">
        <f t="shared" si="42"/>
        <v>0</v>
      </c>
      <c r="AM70" s="34">
        <f t="shared" si="42"/>
        <v>0</v>
      </c>
      <c r="AN70" s="28"/>
      <c r="AO70" s="20">
        <f t="shared" si="34"/>
        <v>55400</v>
      </c>
    </row>
    <row r="71" spans="1:41" ht="33.75" x14ac:dyDescent="0.25">
      <c r="A71" s="89">
        <v>1</v>
      </c>
      <c r="B71" s="82" t="s">
        <v>171</v>
      </c>
      <c r="C71" s="40">
        <v>7923802</v>
      </c>
      <c r="D71" s="40" t="s">
        <v>172</v>
      </c>
      <c r="E71" s="25"/>
      <c r="F71" s="25"/>
      <c r="G71" s="73" t="s">
        <v>173</v>
      </c>
      <c r="H71" s="40" t="s">
        <v>174</v>
      </c>
      <c r="I71" s="47">
        <v>25000</v>
      </c>
      <c r="J71" s="47">
        <v>25000</v>
      </c>
      <c r="K71" s="42">
        <f t="shared" si="37"/>
        <v>8000</v>
      </c>
      <c r="L71" s="44">
        <v>8000</v>
      </c>
      <c r="M71" s="44">
        <v>7078</v>
      </c>
      <c r="N71" s="44">
        <v>7078</v>
      </c>
      <c r="O71" s="42">
        <f t="shared" ref="O71:O76" si="43">P71</f>
        <v>8000</v>
      </c>
      <c r="P71" s="44">
        <v>8000</v>
      </c>
      <c r="Q71" s="42">
        <f>R71</f>
        <v>8000</v>
      </c>
      <c r="R71" s="44">
        <v>8000</v>
      </c>
      <c r="S71" s="44">
        <v>15500</v>
      </c>
      <c r="T71" s="44">
        <v>15500</v>
      </c>
      <c r="U71" s="18"/>
      <c r="V71" s="44">
        <v>25000</v>
      </c>
      <c r="W71" s="101"/>
      <c r="X71" s="18"/>
      <c r="Y71" s="18"/>
      <c r="Z71" s="18"/>
      <c r="AA71" s="44">
        <v>15500</v>
      </c>
      <c r="AB71" s="18"/>
      <c r="AC71" s="18"/>
      <c r="AD71" s="18"/>
      <c r="AE71" s="42">
        <f t="shared" si="28"/>
        <v>9500</v>
      </c>
      <c r="AF71" s="42">
        <f t="shared" si="25"/>
        <v>9500</v>
      </c>
      <c r="AG71" s="18"/>
      <c r="AH71" s="18"/>
      <c r="AI71" s="42">
        <f t="shared" si="35"/>
        <v>8300</v>
      </c>
      <c r="AJ71" s="42">
        <v>8300</v>
      </c>
      <c r="AK71" s="42"/>
      <c r="AL71" s="42"/>
      <c r="AM71" s="42"/>
      <c r="AN71" s="28" t="s">
        <v>44</v>
      </c>
      <c r="AO71" s="20">
        <f>ROUND(V71*0.95-AA71,-2)</f>
        <v>8300</v>
      </c>
    </row>
    <row r="72" spans="1:41" ht="33.75" x14ac:dyDescent="0.25">
      <c r="A72" s="46">
        <v>2</v>
      </c>
      <c r="B72" s="82" t="s">
        <v>175</v>
      </c>
      <c r="C72" s="40">
        <v>7962625</v>
      </c>
      <c r="D72" s="40" t="s">
        <v>176</v>
      </c>
      <c r="E72" s="25"/>
      <c r="F72" s="25"/>
      <c r="G72" s="73" t="s">
        <v>177</v>
      </c>
      <c r="H72" s="56" t="s">
        <v>178</v>
      </c>
      <c r="I72" s="58">
        <v>29850</v>
      </c>
      <c r="J72" s="58">
        <v>29850</v>
      </c>
      <c r="K72" s="42">
        <f t="shared" si="37"/>
        <v>17500</v>
      </c>
      <c r="L72" s="44">
        <f>8000+6500+3000</f>
        <v>17500</v>
      </c>
      <c r="M72" s="44">
        <v>6717</v>
      </c>
      <c r="N72" s="44">
        <v>6717</v>
      </c>
      <c r="O72" s="42">
        <f t="shared" si="43"/>
        <v>8000</v>
      </c>
      <c r="P72" s="44">
        <v>8000</v>
      </c>
      <c r="Q72" s="42">
        <f>R72</f>
        <v>8000</v>
      </c>
      <c r="R72" s="44">
        <v>8000</v>
      </c>
      <c r="S72" s="44">
        <f>8000+6500+3000</f>
        <v>17500</v>
      </c>
      <c r="T72" s="44">
        <f>8000+6500+3000</f>
        <v>17500</v>
      </c>
      <c r="U72" s="18"/>
      <c r="V72" s="58">
        <v>29850</v>
      </c>
      <c r="W72" s="101"/>
      <c r="X72" s="18"/>
      <c r="Y72" s="18"/>
      <c r="Z72" s="18"/>
      <c r="AA72" s="44">
        <f>8000+6500+3000</f>
        <v>17500</v>
      </c>
      <c r="AB72" s="18"/>
      <c r="AC72" s="18"/>
      <c r="AD72" s="18"/>
      <c r="AE72" s="42">
        <f t="shared" si="28"/>
        <v>12350</v>
      </c>
      <c r="AF72" s="42">
        <f t="shared" si="25"/>
        <v>12350</v>
      </c>
      <c r="AG72" s="18"/>
      <c r="AH72" s="18"/>
      <c r="AI72" s="42">
        <f t="shared" si="35"/>
        <v>11000</v>
      </c>
      <c r="AJ72" s="42">
        <v>11000</v>
      </c>
      <c r="AK72" s="42"/>
      <c r="AL72" s="42"/>
      <c r="AM72" s="42"/>
      <c r="AN72" s="28" t="s">
        <v>44</v>
      </c>
      <c r="AO72" s="20">
        <f>ROUND(V72*0.95-AA72,-2)</f>
        <v>10900</v>
      </c>
    </row>
    <row r="73" spans="1:41" ht="33.75" x14ac:dyDescent="0.25">
      <c r="A73" s="89">
        <v>3</v>
      </c>
      <c r="B73" s="82" t="s">
        <v>179</v>
      </c>
      <c r="C73" s="40">
        <v>7958697</v>
      </c>
      <c r="D73" s="40" t="s">
        <v>176</v>
      </c>
      <c r="E73" s="25"/>
      <c r="F73" s="25"/>
      <c r="G73" s="73" t="s">
        <v>177</v>
      </c>
      <c r="H73" s="40" t="s">
        <v>180</v>
      </c>
      <c r="I73" s="57">
        <v>29993</v>
      </c>
      <c r="J73" s="57">
        <v>29993</v>
      </c>
      <c r="K73" s="42">
        <f t="shared" si="37"/>
        <v>0</v>
      </c>
      <c r="L73" s="44"/>
      <c r="M73" s="44"/>
      <c r="N73" s="44"/>
      <c r="O73" s="42">
        <f t="shared" si="43"/>
        <v>0</v>
      </c>
      <c r="P73" s="42">
        <f>L73*0.6</f>
        <v>0</v>
      </c>
      <c r="Q73" s="42">
        <f>R73</f>
        <v>10000</v>
      </c>
      <c r="R73" s="44">
        <v>10000</v>
      </c>
      <c r="S73" s="44">
        <f>19500-10000</f>
        <v>9500</v>
      </c>
      <c r="T73" s="44">
        <f>19500-10000</f>
        <v>9500</v>
      </c>
      <c r="U73" s="18"/>
      <c r="V73" s="57">
        <v>29993</v>
      </c>
      <c r="W73" s="101"/>
      <c r="X73" s="18"/>
      <c r="Y73" s="18"/>
      <c r="Z73" s="18"/>
      <c r="AA73" s="44">
        <f>19500-10000</f>
        <v>9500</v>
      </c>
      <c r="AB73" s="18"/>
      <c r="AC73" s="18"/>
      <c r="AD73" s="18"/>
      <c r="AE73" s="42">
        <f t="shared" si="28"/>
        <v>20493</v>
      </c>
      <c r="AF73" s="42">
        <f t="shared" si="25"/>
        <v>20493</v>
      </c>
      <c r="AG73" s="18"/>
      <c r="AH73" s="18"/>
      <c r="AI73" s="42">
        <f t="shared" si="35"/>
        <v>17000</v>
      </c>
      <c r="AJ73" s="42">
        <v>17000</v>
      </c>
      <c r="AK73" s="42"/>
      <c r="AL73" s="42"/>
      <c r="AM73" s="42"/>
      <c r="AN73" s="28" t="s">
        <v>44</v>
      </c>
      <c r="AO73" s="20">
        <f t="shared" si="34"/>
        <v>17500</v>
      </c>
    </row>
    <row r="74" spans="1:41" ht="38.25" x14ac:dyDescent="0.25">
      <c r="A74" s="46">
        <v>4</v>
      </c>
      <c r="B74" s="82" t="s">
        <v>181</v>
      </c>
      <c r="C74" s="40">
        <v>220220008</v>
      </c>
      <c r="D74" s="40" t="s">
        <v>172</v>
      </c>
      <c r="E74" s="25"/>
      <c r="F74" s="25"/>
      <c r="G74" s="73" t="s">
        <v>173</v>
      </c>
      <c r="H74" s="40" t="s">
        <v>182</v>
      </c>
      <c r="I74" s="43">
        <f>SUM(J74:J74)</f>
        <v>29900</v>
      </c>
      <c r="J74" s="43">
        <f>29900</f>
        <v>29900</v>
      </c>
      <c r="K74" s="42">
        <f t="shared" si="37"/>
        <v>28000</v>
      </c>
      <c r="L74" s="44">
        <f>15000+13000</f>
        <v>28000</v>
      </c>
      <c r="M74" s="44">
        <v>321</v>
      </c>
      <c r="N74" s="44">
        <v>321</v>
      </c>
      <c r="O74" s="42">
        <f t="shared" si="43"/>
        <v>16800</v>
      </c>
      <c r="P74" s="42">
        <f>L74*0.6</f>
        <v>16800</v>
      </c>
      <c r="Q74" s="42">
        <f>R74</f>
        <v>15000</v>
      </c>
      <c r="R74" s="44">
        <v>15000</v>
      </c>
      <c r="S74" s="44">
        <v>15700</v>
      </c>
      <c r="T74" s="44">
        <v>15700</v>
      </c>
      <c r="U74" s="18"/>
      <c r="V74" s="43">
        <f>J74</f>
        <v>29900</v>
      </c>
      <c r="W74" s="101"/>
      <c r="X74" s="18"/>
      <c r="Y74" s="18"/>
      <c r="Z74" s="18"/>
      <c r="AA74" s="44">
        <f>15700+13000</f>
        <v>28700</v>
      </c>
      <c r="AB74" s="18"/>
      <c r="AC74" s="18"/>
      <c r="AD74" s="18"/>
      <c r="AE74" s="42">
        <f t="shared" si="28"/>
        <v>1200</v>
      </c>
      <c r="AF74" s="42">
        <f t="shared" si="25"/>
        <v>1200</v>
      </c>
      <c r="AG74" s="18"/>
      <c r="AH74" s="18"/>
      <c r="AI74" s="42">
        <f t="shared" si="35"/>
        <v>1000</v>
      </c>
      <c r="AJ74" s="42">
        <v>1000</v>
      </c>
      <c r="AK74" s="42"/>
      <c r="AL74" s="42"/>
      <c r="AM74" s="42"/>
      <c r="AN74" s="28" t="s">
        <v>44</v>
      </c>
      <c r="AO74" s="20">
        <f t="shared" si="34"/>
        <v>-1800</v>
      </c>
    </row>
    <row r="75" spans="1:41" ht="38.25" x14ac:dyDescent="0.25">
      <c r="A75" s="46">
        <v>5</v>
      </c>
      <c r="B75" s="82" t="s">
        <v>183</v>
      </c>
      <c r="C75" s="24">
        <v>7964467</v>
      </c>
      <c r="D75" s="40" t="s">
        <v>40</v>
      </c>
      <c r="E75" s="25" t="s">
        <v>184</v>
      </c>
      <c r="F75" s="25" t="s">
        <v>185</v>
      </c>
      <c r="G75" s="40" t="s">
        <v>150</v>
      </c>
      <c r="H75" s="40" t="s">
        <v>186</v>
      </c>
      <c r="I75" s="43">
        <v>34555</v>
      </c>
      <c r="J75" s="43">
        <v>34555</v>
      </c>
      <c r="K75" s="42">
        <v>10000</v>
      </c>
      <c r="L75" s="44">
        <v>10000</v>
      </c>
      <c r="M75" s="44">
        <v>9766</v>
      </c>
      <c r="N75" s="44">
        <v>9766</v>
      </c>
      <c r="O75" s="42">
        <v>10000</v>
      </c>
      <c r="P75" s="42">
        <v>10000</v>
      </c>
      <c r="Q75" s="42">
        <v>10000</v>
      </c>
      <c r="R75" s="44">
        <v>10000</v>
      </c>
      <c r="S75" s="44">
        <v>10000</v>
      </c>
      <c r="T75" s="44">
        <v>10000</v>
      </c>
      <c r="U75" s="18">
        <v>34555</v>
      </c>
      <c r="V75" s="43">
        <v>34555</v>
      </c>
      <c r="W75" s="101"/>
      <c r="X75" s="18"/>
      <c r="Y75" s="18"/>
      <c r="Z75" s="18">
        <v>10000</v>
      </c>
      <c r="AA75" s="44">
        <v>10000</v>
      </c>
      <c r="AB75" s="18"/>
      <c r="AC75" s="18"/>
      <c r="AD75" s="18"/>
      <c r="AE75" s="42">
        <v>24555</v>
      </c>
      <c r="AF75" s="42">
        <v>24555</v>
      </c>
      <c r="AG75" s="18"/>
      <c r="AH75" s="18"/>
      <c r="AI75" s="42">
        <f t="shared" si="35"/>
        <v>14000</v>
      </c>
      <c r="AJ75" s="42"/>
      <c r="AK75" s="42">
        <v>14000</v>
      </c>
      <c r="AL75" s="42"/>
      <c r="AM75" s="42"/>
      <c r="AN75" s="28" t="s">
        <v>44</v>
      </c>
      <c r="AO75" s="20">
        <f>ROUND(V75*0.7-AA75,-2)</f>
        <v>14200</v>
      </c>
    </row>
    <row r="76" spans="1:41" ht="38.25" x14ac:dyDescent="0.25">
      <c r="A76" s="46">
        <v>6</v>
      </c>
      <c r="B76" s="82" t="s">
        <v>187</v>
      </c>
      <c r="C76" s="24">
        <v>7738934</v>
      </c>
      <c r="D76" s="40" t="s">
        <v>188</v>
      </c>
      <c r="E76" s="25" t="s">
        <v>189</v>
      </c>
      <c r="F76" s="25" t="s">
        <v>190</v>
      </c>
      <c r="G76" s="73" t="s">
        <v>189</v>
      </c>
      <c r="H76" s="40" t="s">
        <v>190</v>
      </c>
      <c r="I76" s="43">
        <v>34571</v>
      </c>
      <c r="J76" s="43">
        <f>16935+14995</f>
        <v>31930</v>
      </c>
      <c r="K76" s="42">
        <f t="shared" si="37"/>
        <v>2000</v>
      </c>
      <c r="L76" s="44">
        <v>2000</v>
      </c>
      <c r="M76" s="44"/>
      <c r="N76" s="44"/>
      <c r="O76" s="42">
        <f t="shared" si="43"/>
        <v>1200</v>
      </c>
      <c r="P76" s="42">
        <f>L76*0.6</f>
        <v>1200</v>
      </c>
      <c r="Q76" s="42">
        <f>R76</f>
        <v>2000</v>
      </c>
      <c r="R76" s="44">
        <v>2000</v>
      </c>
      <c r="S76" s="44">
        <f>I76-16935+13000</f>
        <v>30636</v>
      </c>
      <c r="T76" s="44">
        <f>J76-16935+13000</f>
        <v>27995</v>
      </c>
      <c r="U76" s="18"/>
      <c r="V76" s="43">
        <v>16935</v>
      </c>
      <c r="W76" s="101"/>
      <c r="X76" s="18"/>
      <c r="Y76" s="18"/>
      <c r="Z76" s="18"/>
      <c r="AA76" s="44">
        <v>13000</v>
      </c>
      <c r="AB76" s="18"/>
      <c r="AC76" s="18"/>
      <c r="AD76" s="18"/>
      <c r="AE76" s="42">
        <f t="shared" si="28"/>
        <v>3935</v>
      </c>
      <c r="AF76" s="42">
        <f>V76-AA76</f>
        <v>3935</v>
      </c>
      <c r="AG76" s="18"/>
      <c r="AH76" s="18"/>
      <c r="AI76" s="42">
        <f t="shared" si="35"/>
        <v>3000</v>
      </c>
      <c r="AJ76" s="42">
        <v>3000</v>
      </c>
      <c r="AK76" s="42"/>
      <c r="AL76" s="42"/>
      <c r="AM76" s="42"/>
      <c r="AN76" s="28" t="s">
        <v>44</v>
      </c>
      <c r="AO76" s="20">
        <f>ROUND(V76*0.95-AA76,-2)</f>
        <v>3100</v>
      </c>
    </row>
    <row r="77" spans="1:41" ht="30.75" customHeight="1" x14ac:dyDescent="0.25">
      <c r="A77" s="22" t="s">
        <v>191</v>
      </c>
      <c r="B77" s="23" t="s">
        <v>192</v>
      </c>
      <c r="C77" s="24"/>
      <c r="D77" s="24"/>
      <c r="E77" s="25"/>
      <c r="F77" s="25"/>
      <c r="G77" s="26"/>
      <c r="H77" s="26"/>
      <c r="I77" s="27">
        <f>I78</f>
        <v>20822</v>
      </c>
      <c r="J77" s="27">
        <f t="shared" ref="J77:AM78" si="44">J78</f>
        <v>20822</v>
      </c>
      <c r="K77" s="27">
        <f t="shared" si="44"/>
        <v>8000</v>
      </c>
      <c r="L77" s="27">
        <f t="shared" si="44"/>
        <v>8000</v>
      </c>
      <c r="M77" s="27">
        <f t="shared" si="44"/>
        <v>271</v>
      </c>
      <c r="N77" s="27">
        <f t="shared" si="44"/>
        <v>271</v>
      </c>
      <c r="O77" s="27">
        <f t="shared" si="44"/>
        <v>8000</v>
      </c>
      <c r="P77" s="27">
        <f t="shared" si="44"/>
        <v>8000</v>
      </c>
      <c r="Q77" s="27">
        <f t="shared" si="44"/>
        <v>8000</v>
      </c>
      <c r="R77" s="27">
        <f t="shared" si="44"/>
        <v>8000</v>
      </c>
      <c r="S77" s="27">
        <f t="shared" si="44"/>
        <v>8144</v>
      </c>
      <c r="T77" s="27">
        <f t="shared" si="44"/>
        <v>8144</v>
      </c>
      <c r="U77" s="27">
        <f t="shared" si="44"/>
        <v>0</v>
      </c>
      <c r="V77" s="27">
        <f t="shared" si="44"/>
        <v>20822</v>
      </c>
      <c r="W77" s="27">
        <f t="shared" si="44"/>
        <v>0</v>
      </c>
      <c r="X77" s="27">
        <f t="shared" si="44"/>
        <v>0</v>
      </c>
      <c r="Y77" s="27">
        <f t="shared" si="44"/>
        <v>0</v>
      </c>
      <c r="Z77" s="27">
        <f t="shared" si="44"/>
        <v>0</v>
      </c>
      <c r="AA77" s="27">
        <f t="shared" si="44"/>
        <v>8144</v>
      </c>
      <c r="AB77" s="27">
        <f t="shared" si="44"/>
        <v>0</v>
      </c>
      <c r="AC77" s="27">
        <f t="shared" si="44"/>
        <v>0</v>
      </c>
      <c r="AD77" s="27">
        <f t="shared" si="44"/>
        <v>144</v>
      </c>
      <c r="AE77" s="27">
        <f t="shared" si="44"/>
        <v>12678</v>
      </c>
      <c r="AF77" s="27">
        <f t="shared" si="44"/>
        <v>12678</v>
      </c>
      <c r="AG77" s="27">
        <f t="shared" si="44"/>
        <v>0</v>
      </c>
      <c r="AH77" s="27">
        <f t="shared" si="44"/>
        <v>0</v>
      </c>
      <c r="AI77" s="27">
        <f t="shared" si="44"/>
        <v>9000</v>
      </c>
      <c r="AJ77" s="27">
        <f t="shared" si="44"/>
        <v>0</v>
      </c>
      <c r="AK77" s="27">
        <f t="shared" si="44"/>
        <v>9000</v>
      </c>
      <c r="AL77" s="27">
        <f t="shared" si="44"/>
        <v>0</v>
      </c>
      <c r="AM77" s="27">
        <f t="shared" si="44"/>
        <v>0</v>
      </c>
      <c r="AN77" s="28"/>
      <c r="AO77" s="20">
        <f t="shared" si="34"/>
        <v>10600</v>
      </c>
    </row>
    <row r="78" spans="1:41" ht="27" x14ac:dyDescent="0.25">
      <c r="A78" s="65"/>
      <c r="B78" s="30" t="s">
        <v>93</v>
      </c>
      <c r="C78" s="24"/>
      <c r="D78" s="53"/>
      <c r="E78" s="25"/>
      <c r="F78" s="25"/>
      <c r="G78" s="26"/>
      <c r="H78" s="53"/>
      <c r="I78" s="34">
        <f>I79</f>
        <v>20822</v>
      </c>
      <c r="J78" s="34">
        <f t="shared" si="44"/>
        <v>20822</v>
      </c>
      <c r="K78" s="34">
        <f t="shared" si="44"/>
        <v>8000</v>
      </c>
      <c r="L78" s="34">
        <f t="shared" si="44"/>
        <v>8000</v>
      </c>
      <c r="M78" s="34">
        <f t="shared" si="44"/>
        <v>271</v>
      </c>
      <c r="N78" s="34">
        <f t="shared" si="44"/>
        <v>271</v>
      </c>
      <c r="O78" s="34">
        <f t="shared" si="44"/>
        <v>8000</v>
      </c>
      <c r="P78" s="34">
        <f t="shared" si="44"/>
        <v>8000</v>
      </c>
      <c r="Q78" s="34">
        <f t="shared" si="44"/>
        <v>8000</v>
      </c>
      <c r="R78" s="34">
        <f t="shared" si="44"/>
        <v>8000</v>
      </c>
      <c r="S78" s="34">
        <f t="shared" si="44"/>
        <v>8144</v>
      </c>
      <c r="T78" s="34">
        <f t="shared" si="44"/>
        <v>8144</v>
      </c>
      <c r="U78" s="34">
        <f t="shared" si="44"/>
        <v>0</v>
      </c>
      <c r="V78" s="34">
        <f t="shared" si="44"/>
        <v>20822</v>
      </c>
      <c r="W78" s="34">
        <f t="shared" si="44"/>
        <v>0</v>
      </c>
      <c r="X78" s="34">
        <f t="shared" si="44"/>
        <v>0</v>
      </c>
      <c r="Y78" s="34">
        <f t="shared" si="44"/>
        <v>0</v>
      </c>
      <c r="Z78" s="34">
        <f t="shared" si="44"/>
        <v>0</v>
      </c>
      <c r="AA78" s="34">
        <f t="shared" si="44"/>
        <v>8144</v>
      </c>
      <c r="AB78" s="34">
        <f t="shared" si="44"/>
        <v>0</v>
      </c>
      <c r="AC78" s="34">
        <f t="shared" si="44"/>
        <v>0</v>
      </c>
      <c r="AD78" s="34">
        <f t="shared" si="44"/>
        <v>144</v>
      </c>
      <c r="AE78" s="34">
        <f t="shared" si="44"/>
        <v>12678</v>
      </c>
      <c r="AF78" s="34">
        <f t="shared" si="44"/>
        <v>12678</v>
      </c>
      <c r="AG78" s="34">
        <f t="shared" si="44"/>
        <v>0</v>
      </c>
      <c r="AH78" s="34">
        <f t="shared" si="44"/>
        <v>0</v>
      </c>
      <c r="AI78" s="34">
        <f t="shared" si="44"/>
        <v>9000</v>
      </c>
      <c r="AJ78" s="34">
        <f t="shared" si="44"/>
        <v>0</v>
      </c>
      <c r="AK78" s="34">
        <f t="shared" si="44"/>
        <v>9000</v>
      </c>
      <c r="AL78" s="34">
        <f t="shared" si="44"/>
        <v>0</v>
      </c>
      <c r="AM78" s="34">
        <f t="shared" si="44"/>
        <v>0</v>
      </c>
      <c r="AN78" s="28"/>
      <c r="AO78" s="20">
        <f t="shared" si="34"/>
        <v>10600</v>
      </c>
    </row>
    <row r="79" spans="1:41" ht="38.25" x14ac:dyDescent="0.25">
      <c r="A79" s="89">
        <v>1</v>
      </c>
      <c r="B79" s="92" t="s">
        <v>193</v>
      </c>
      <c r="C79" s="39">
        <v>220220003</v>
      </c>
      <c r="D79" s="93" t="s">
        <v>40</v>
      </c>
      <c r="E79" s="25"/>
      <c r="F79" s="25"/>
      <c r="G79" s="40" t="s">
        <v>194</v>
      </c>
      <c r="H79" s="40" t="s">
        <v>195</v>
      </c>
      <c r="I79" s="62">
        <v>20822</v>
      </c>
      <c r="J79" s="62">
        <v>20822</v>
      </c>
      <c r="K79" s="42">
        <f t="shared" si="37"/>
        <v>8000</v>
      </c>
      <c r="L79" s="44">
        <v>8000</v>
      </c>
      <c r="M79" s="44">
        <v>271</v>
      </c>
      <c r="N79" s="44">
        <v>271</v>
      </c>
      <c r="O79" s="42">
        <f>P79</f>
        <v>8000</v>
      </c>
      <c r="P79" s="44">
        <v>8000</v>
      </c>
      <c r="Q79" s="42">
        <f>R79</f>
        <v>8000</v>
      </c>
      <c r="R79" s="44">
        <v>8000</v>
      </c>
      <c r="S79" s="42">
        <v>8144</v>
      </c>
      <c r="T79" s="42">
        <v>8144</v>
      </c>
      <c r="U79" s="44"/>
      <c r="V79" s="62">
        <v>20822</v>
      </c>
      <c r="W79" s="94"/>
      <c r="X79" s="44"/>
      <c r="Y79" s="44"/>
      <c r="Z79" s="44"/>
      <c r="AA79" s="42">
        <v>8144</v>
      </c>
      <c r="AB79" s="44"/>
      <c r="AC79" s="44"/>
      <c r="AD79" s="44">
        <v>144</v>
      </c>
      <c r="AE79" s="42">
        <f t="shared" si="28"/>
        <v>12678</v>
      </c>
      <c r="AF79" s="42">
        <f t="shared" si="25"/>
        <v>12678</v>
      </c>
      <c r="AG79" s="44"/>
      <c r="AH79" s="44"/>
      <c r="AI79" s="42">
        <f t="shared" si="35"/>
        <v>9000</v>
      </c>
      <c r="AJ79" s="42"/>
      <c r="AK79" s="42">
        <v>9000</v>
      </c>
      <c r="AL79" s="42"/>
      <c r="AM79" s="42"/>
      <c r="AN79" s="28" t="s">
        <v>44</v>
      </c>
      <c r="AO79" s="20">
        <f>ROUND(V79*0.9-AA79,-2)</f>
        <v>10600</v>
      </c>
    </row>
    <row r="80" spans="1:41" x14ac:dyDescent="0.25">
      <c r="A80" s="22" t="s">
        <v>196</v>
      </c>
      <c r="B80" s="23" t="s">
        <v>197</v>
      </c>
      <c r="C80" s="24"/>
      <c r="D80" s="24"/>
      <c r="E80" s="25"/>
      <c r="F80" s="25"/>
      <c r="G80" s="26"/>
      <c r="H80" s="26"/>
      <c r="I80" s="27">
        <f>I81</f>
        <v>90000</v>
      </c>
      <c r="J80" s="27">
        <f t="shared" ref="J80:AL80" si="45">J81</f>
        <v>90000</v>
      </c>
      <c r="K80" s="27">
        <f t="shared" si="45"/>
        <v>34000</v>
      </c>
      <c r="L80" s="27">
        <f t="shared" si="45"/>
        <v>34000</v>
      </c>
      <c r="M80" s="27">
        <f t="shared" si="45"/>
        <v>20000</v>
      </c>
      <c r="N80" s="27">
        <f t="shared" si="45"/>
        <v>20000</v>
      </c>
      <c r="O80" s="27">
        <f t="shared" si="45"/>
        <v>20000</v>
      </c>
      <c r="P80" s="27">
        <f t="shared" si="45"/>
        <v>20000</v>
      </c>
      <c r="Q80" s="27">
        <f t="shared" si="45"/>
        <v>20000</v>
      </c>
      <c r="R80" s="27">
        <f t="shared" si="45"/>
        <v>20000</v>
      </c>
      <c r="S80" s="27">
        <f t="shared" si="45"/>
        <v>51036</v>
      </c>
      <c r="T80" s="27">
        <f t="shared" si="45"/>
        <v>51036</v>
      </c>
      <c r="U80" s="27">
        <f t="shared" si="45"/>
        <v>0</v>
      </c>
      <c r="V80" s="27">
        <f t="shared" si="45"/>
        <v>90000</v>
      </c>
      <c r="W80" s="27">
        <f t="shared" si="45"/>
        <v>0</v>
      </c>
      <c r="X80" s="27">
        <f t="shared" si="45"/>
        <v>0</v>
      </c>
      <c r="Y80" s="27">
        <f t="shared" si="45"/>
        <v>0</v>
      </c>
      <c r="Z80" s="27">
        <f t="shared" si="45"/>
        <v>0</v>
      </c>
      <c r="AA80" s="27">
        <f t="shared" si="45"/>
        <v>51036</v>
      </c>
      <c r="AB80" s="27">
        <f t="shared" si="45"/>
        <v>0</v>
      </c>
      <c r="AC80" s="27">
        <f t="shared" si="45"/>
        <v>0</v>
      </c>
      <c r="AD80" s="27">
        <f t="shared" si="45"/>
        <v>0</v>
      </c>
      <c r="AE80" s="27">
        <f t="shared" si="45"/>
        <v>38964</v>
      </c>
      <c r="AF80" s="27">
        <f t="shared" si="45"/>
        <v>38964</v>
      </c>
      <c r="AG80" s="27">
        <f t="shared" si="45"/>
        <v>0</v>
      </c>
      <c r="AH80" s="27">
        <f t="shared" si="45"/>
        <v>0</v>
      </c>
      <c r="AI80" s="27">
        <f t="shared" si="45"/>
        <v>15000</v>
      </c>
      <c r="AJ80" s="27">
        <f t="shared" si="45"/>
        <v>15000</v>
      </c>
      <c r="AK80" s="27">
        <f t="shared" si="45"/>
        <v>0</v>
      </c>
      <c r="AL80" s="27">
        <f t="shared" si="45"/>
        <v>0</v>
      </c>
      <c r="AM80" s="27"/>
      <c r="AN80" s="28"/>
      <c r="AO80" s="20">
        <f t="shared" si="34"/>
        <v>30000</v>
      </c>
    </row>
    <row r="81" spans="1:43" ht="27" x14ac:dyDescent="0.25">
      <c r="A81" s="65"/>
      <c r="B81" s="30" t="s">
        <v>198</v>
      </c>
      <c r="C81" s="24"/>
      <c r="D81" s="53"/>
      <c r="E81" s="25"/>
      <c r="F81" s="25"/>
      <c r="G81" s="26"/>
      <c r="H81" s="53"/>
      <c r="I81" s="34">
        <f t="shared" ref="I81:AM81" si="46">I82</f>
        <v>90000</v>
      </c>
      <c r="J81" s="34">
        <f t="shared" si="46"/>
        <v>90000</v>
      </c>
      <c r="K81" s="34">
        <f t="shared" si="46"/>
        <v>34000</v>
      </c>
      <c r="L81" s="34">
        <f t="shared" si="46"/>
        <v>34000</v>
      </c>
      <c r="M81" s="34">
        <f t="shared" si="46"/>
        <v>20000</v>
      </c>
      <c r="N81" s="34">
        <f t="shared" si="46"/>
        <v>20000</v>
      </c>
      <c r="O81" s="34">
        <f t="shared" si="46"/>
        <v>20000</v>
      </c>
      <c r="P81" s="34">
        <f t="shared" si="46"/>
        <v>20000</v>
      </c>
      <c r="Q81" s="34">
        <f t="shared" si="46"/>
        <v>20000</v>
      </c>
      <c r="R81" s="34">
        <f t="shared" si="46"/>
        <v>20000</v>
      </c>
      <c r="S81" s="34">
        <f t="shared" si="46"/>
        <v>51036</v>
      </c>
      <c r="T81" s="34">
        <f t="shared" si="46"/>
        <v>51036</v>
      </c>
      <c r="U81" s="34">
        <f t="shared" si="46"/>
        <v>0</v>
      </c>
      <c r="V81" s="34">
        <f t="shared" si="46"/>
        <v>90000</v>
      </c>
      <c r="W81" s="34">
        <f t="shared" si="46"/>
        <v>0</v>
      </c>
      <c r="X81" s="34">
        <f t="shared" si="46"/>
        <v>0</v>
      </c>
      <c r="Y81" s="34">
        <f t="shared" si="46"/>
        <v>0</v>
      </c>
      <c r="Z81" s="34">
        <f t="shared" si="46"/>
        <v>0</v>
      </c>
      <c r="AA81" s="34">
        <f t="shared" si="46"/>
        <v>51036</v>
      </c>
      <c r="AB81" s="34">
        <f t="shared" si="46"/>
        <v>0</v>
      </c>
      <c r="AC81" s="34">
        <f t="shared" si="46"/>
        <v>0</v>
      </c>
      <c r="AD81" s="34">
        <f t="shared" si="46"/>
        <v>0</v>
      </c>
      <c r="AE81" s="34">
        <f t="shared" si="46"/>
        <v>38964</v>
      </c>
      <c r="AF81" s="34">
        <f t="shared" si="46"/>
        <v>38964</v>
      </c>
      <c r="AG81" s="34">
        <f t="shared" si="46"/>
        <v>0</v>
      </c>
      <c r="AH81" s="34">
        <f t="shared" si="46"/>
        <v>0</v>
      </c>
      <c r="AI81" s="34">
        <f t="shared" si="46"/>
        <v>15000</v>
      </c>
      <c r="AJ81" s="34">
        <f t="shared" si="46"/>
        <v>15000</v>
      </c>
      <c r="AK81" s="34">
        <f t="shared" si="46"/>
        <v>0</v>
      </c>
      <c r="AL81" s="34">
        <f t="shared" si="46"/>
        <v>0</v>
      </c>
      <c r="AM81" s="34">
        <f t="shared" si="46"/>
        <v>0</v>
      </c>
      <c r="AN81" s="28"/>
      <c r="AO81" s="20">
        <f t="shared" si="34"/>
        <v>30000</v>
      </c>
    </row>
    <row r="82" spans="1:43" ht="45" customHeight="1" x14ac:dyDescent="0.25">
      <c r="A82" s="89">
        <v>1</v>
      </c>
      <c r="B82" s="100" t="s">
        <v>199</v>
      </c>
      <c r="C82" s="39">
        <v>7904517</v>
      </c>
      <c r="D82" s="66" t="s">
        <v>176</v>
      </c>
      <c r="E82" s="25"/>
      <c r="F82" s="25"/>
      <c r="G82" s="40" t="s">
        <v>42</v>
      </c>
      <c r="H82" s="40" t="s">
        <v>200</v>
      </c>
      <c r="I82" s="47">
        <v>90000</v>
      </c>
      <c r="J82" s="47">
        <v>90000</v>
      </c>
      <c r="K82" s="42">
        <f t="shared" si="37"/>
        <v>34000</v>
      </c>
      <c r="L82" s="44">
        <v>34000</v>
      </c>
      <c r="M82" s="42">
        <f>N82</f>
        <v>20000</v>
      </c>
      <c r="N82" s="44">
        <v>20000</v>
      </c>
      <c r="O82" s="42">
        <f>P82</f>
        <v>20000</v>
      </c>
      <c r="P82" s="44">
        <v>20000</v>
      </c>
      <c r="Q82" s="42">
        <f>R82</f>
        <v>20000</v>
      </c>
      <c r="R82" s="44">
        <v>20000</v>
      </c>
      <c r="S82" s="44">
        <f>34000+16496+540</f>
        <v>51036</v>
      </c>
      <c r="T82" s="44">
        <f>34000+16496+540</f>
        <v>51036</v>
      </c>
      <c r="U82" s="44"/>
      <c r="V82" s="47">
        <v>90000</v>
      </c>
      <c r="W82" s="44"/>
      <c r="X82" s="44"/>
      <c r="Y82" s="44"/>
      <c r="Z82" s="44"/>
      <c r="AA82" s="44">
        <f>34000+16496+540</f>
        <v>51036</v>
      </c>
      <c r="AB82" s="44"/>
      <c r="AC82" s="44"/>
      <c r="AD82" s="44"/>
      <c r="AE82" s="42">
        <f t="shared" si="28"/>
        <v>38964</v>
      </c>
      <c r="AF82" s="42">
        <f t="shared" si="25"/>
        <v>38964</v>
      </c>
      <c r="AG82" s="44"/>
      <c r="AH82" s="44"/>
      <c r="AI82" s="42">
        <f t="shared" si="35"/>
        <v>15000</v>
      </c>
      <c r="AJ82" s="42">
        <v>15000</v>
      </c>
      <c r="AK82" s="42"/>
      <c r="AL82" s="42"/>
      <c r="AM82" s="42"/>
      <c r="AN82" s="28" t="s">
        <v>44</v>
      </c>
      <c r="AO82" s="20">
        <f>ROUND(V82*0.7-AA82,-2)</f>
        <v>12000</v>
      </c>
      <c r="AQ82" s="2">
        <f>90000-89460</f>
        <v>540</v>
      </c>
    </row>
    <row r="83" spans="1:43" x14ac:dyDescent="0.25">
      <c r="A83" s="22" t="s">
        <v>201</v>
      </c>
      <c r="B83" s="23" t="s">
        <v>202</v>
      </c>
      <c r="C83" s="24"/>
      <c r="D83" s="24"/>
      <c r="E83" s="25"/>
      <c r="F83" s="25"/>
      <c r="G83" s="26"/>
      <c r="H83" s="26"/>
      <c r="I83" s="27">
        <f>I84</f>
        <v>26314</v>
      </c>
      <c r="J83" s="27">
        <f t="shared" ref="J83:AM83" si="47">J84</f>
        <v>26314</v>
      </c>
      <c r="K83" s="27">
        <f t="shared" si="47"/>
        <v>16801</v>
      </c>
      <c r="L83" s="27">
        <f t="shared" si="47"/>
        <v>16801</v>
      </c>
      <c r="M83" s="27">
        <f t="shared" si="47"/>
        <v>10601</v>
      </c>
      <c r="N83" s="27">
        <f t="shared" si="47"/>
        <v>10601</v>
      </c>
      <c r="O83" s="27">
        <f t="shared" si="47"/>
        <v>11301</v>
      </c>
      <c r="P83" s="27">
        <f t="shared" si="47"/>
        <v>11301</v>
      </c>
      <c r="Q83" s="27">
        <f t="shared" si="47"/>
        <v>11301</v>
      </c>
      <c r="R83" s="27">
        <f t="shared" si="47"/>
        <v>11301</v>
      </c>
      <c r="S83" s="27">
        <f t="shared" si="47"/>
        <v>17001</v>
      </c>
      <c r="T83" s="27">
        <f t="shared" si="47"/>
        <v>17001</v>
      </c>
      <c r="U83" s="27">
        <f t="shared" si="47"/>
        <v>0</v>
      </c>
      <c r="V83" s="27">
        <f t="shared" si="47"/>
        <v>26314</v>
      </c>
      <c r="W83" s="27">
        <f t="shared" si="47"/>
        <v>0</v>
      </c>
      <c r="X83" s="27">
        <f t="shared" si="47"/>
        <v>0</v>
      </c>
      <c r="Y83" s="27">
        <f t="shared" si="47"/>
        <v>0</v>
      </c>
      <c r="Z83" s="27">
        <f t="shared" si="47"/>
        <v>0</v>
      </c>
      <c r="AA83" s="27">
        <f t="shared" si="47"/>
        <v>20001</v>
      </c>
      <c r="AB83" s="27">
        <f t="shared" si="47"/>
        <v>0</v>
      </c>
      <c r="AC83" s="27">
        <f t="shared" si="47"/>
        <v>0</v>
      </c>
      <c r="AD83" s="27">
        <f t="shared" si="47"/>
        <v>0</v>
      </c>
      <c r="AE83" s="27">
        <f t="shared" si="47"/>
        <v>6313</v>
      </c>
      <c r="AF83" s="27">
        <f t="shared" si="47"/>
        <v>6313</v>
      </c>
      <c r="AG83" s="27">
        <f t="shared" si="47"/>
        <v>0</v>
      </c>
      <c r="AH83" s="27">
        <f t="shared" si="47"/>
        <v>0</v>
      </c>
      <c r="AI83" s="27">
        <f t="shared" si="47"/>
        <v>13631</v>
      </c>
      <c r="AJ83" s="27">
        <f t="shared" si="47"/>
        <v>0</v>
      </c>
      <c r="AK83" s="27">
        <f t="shared" si="47"/>
        <v>13631</v>
      </c>
      <c r="AL83" s="27">
        <f t="shared" si="47"/>
        <v>0</v>
      </c>
      <c r="AM83" s="27">
        <f t="shared" si="47"/>
        <v>0</v>
      </c>
      <c r="AN83" s="28"/>
      <c r="AO83" s="20">
        <f t="shared" si="34"/>
        <v>3700</v>
      </c>
    </row>
    <row r="84" spans="1:43" ht="27" x14ac:dyDescent="0.25">
      <c r="A84" s="65"/>
      <c r="B84" s="30" t="s">
        <v>93</v>
      </c>
      <c r="C84" s="24"/>
      <c r="D84" s="53"/>
      <c r="E84" s="25"/>
      <c r="F84" s="25"/>
      <c r="G84" s="26"/>
      <c r="H84" s="53"/>
      <c r="I84" s="34">
        <f>SUM(I85:I86)</f>
        <v>26314</v>
      </c>
      <c r="J84" s="34">
        <f t="shared" ref="J84:AH84" si="48">SUM(J85:J86)</f>
        <v>26314</v>
      </c>
      <c r="K84" s="34">
        <f t="shared" si="48"/>
        <v>16801</v>
      </c>
      <c r="L84" s="34">
        <f t="shared" si="48"/>
        <v>16801</v>
      </c>
      <c r="M84" s="34">
        <f t="shared" si="48"/>
        <v>10601</v>
      </c>
      <c r="N84" s="34">
        <f t="shared" si="48"/>
        <v>10601</v>
      </c>
      <c r="O84" s="34">
        <f t="shared" si="48"/>
        <v>11301</v>
      </c>
      <c r="P84" s="34">
        <f t="shared" si="48"/>
        <v>11301</v>
      </c>
      <c r="Q84" s="34">
        <f t="shared" si="48"/>
        <v>11301</v>
      </c>
      <c r="R84" s="34">
        <f t="shared" si="48"/>
        <v>11301</v>
      </c>
      <c r="S84" s="34">
        <f t="shared" si="48"/>
        <v>17001</v>
      </c>
      <c r="T84" s="34">
        <f t="shared" si="48"/>
        <v>17001</v>
      </c>
      <c r="U84" s="34">
        <f t="shared" si="48"/>
        <v>0</v>
      </c>
      <c r="V84" s="34">
        <f t="shared" si="48"/>
        <v>26314</v>
      </c>
      <c r="W84" s="34">
        <f t="shared" si="48"/>
        <v>0</v>
      </c>
      <c r="X84" s="34">
        <f t="shared" si="48"/>
        <v>0</v>
      </c>
      <c r="Y84" s="34">
        <f t="shared" si="48"/>
        <v>0</v>
      </c>
      <c r="Z84" s="34">
        <f t="shared" si="48"/>
        <v>0</v>
      </c>
      <c r="AA84" s="34">
        <f t="shared" si="48"/>
        <v>20001</v>
      </c>
      <c r="AB84" s="34">
        <f t="shared" si="48"/>
        <v>0</v>
      </c>
      <c r="AC84" s="34">
        <f t="shared" si="48"/>
        <v>0</v>
      </c>
      <c r="AD84" s="34">
        <f t="shared" si="48"/>
        <v>0</v>
      </c>
      <c r="AE84" s="34">
        <f t="shared" si="48"/>
        <v>6313</v>
      </c>
      <c r="AF84" s="34">
        <f t="shared" si="48"/>
        <v>6313</v>
      </c>
      <c r="AG84" s="34">
        <f t="shared" si="48"/>
        <v>0</v>
      </c>
      <c r="AH84" s="34">
        <f t="shared" si="48"/>
        <v>0</v>
      </c>
      <c r="AI84" s="34">
        <f>SUM(AI85:AI87)</f>
        <v>13631</v>
      </c>
      <c r="AJ84" s="34">
        <f t="shared" ref="AJ84:AM84" si="49">SUM(AJ85:AJ87)</f>
        <v>0</v>
      </c>
      <c r="AK84" s="34">
        <f t="shared" si="49"/>
        <v>13631</v>
      </c>
      <c r="AL84" s="34">
        <f t="shared" si="49"/>
        <v>0</v>
      </c>
      <c r="AM84" s="34">
        <f t="shared" si="49"/>
        <v>0</v>
      </c>
      <c r="AN84" s="28"/>
      <c r="AO84" s="20">
        <f t="shared" si="34"/>
        <v>3700</v>
      </c>
    </row>
    <row r="85" spans="1:43" ht="38.25" x14ac:dyDescent="0.25">
      <c r="A85" s="28">
        <v>1</v>
      </c>
      <c r="B85" s="51" t="s">
        <v>203</v>
      </c>
      <c r="C85" s="40">
        <v>7953166</v>
      </c>
      <c r="D85" s="40" t="s">
        <v>40</v>
      </c>
      <c r="E85" s="46" t="s">
        <v>204</v>
      </c>
      <c r="F85" s="41"/>
      <c r="G85" s="66" t="s">
        <v>205</v>
      </c>
      <c r="H85" s="40" t="s">
        <v>206</v>
      </c>
      <c r="I85" s="102">
        <v>8900</v>
      </c>
      <c r="J85" s="102">
        <v>8900</v>
      </c>
      <c r="K85" s="44">
        <v>6301</v>
      </c>
      <c r="L85" s="44">
        <v>6301</v>
      </c>
      <c r="M85" s="44">
        <v>2601</v>
      </c>
      <c r="N85" s="44">
        <v>2601</v>
      </c>
      <c r="O85" s="44">
        <v>3301</v>
      </c>
      <c r="P85" s="44">
        <v>3301</v>
      </c>
      <c r="Q85" s="44">
        <v>3301</v>
      </c>
      <c r="R85" s="44">
        <v>3301</v>
      </c>
      <c r="S85" s="44">
        <v>3301</v>
      </c>
      <c r="T85" s="44">
        <v>3301</v>
      </c>
      <c r="U85" s="42"/>
      <c r="V85" s="44">
        <v>8900</v>
      </c>
      <c r="W85" s="42"/>
      <c r="X85" s="44"/>
      <c r="Y85" s="42"/>
      <c r="Z85" s="44"/>
      <c r="AA85" s="44">
        <v>6301</v>
      </c>
      <c r="AB85" s="44"/>
      <c r="AC85" s="42"/>
      <c r="AD85" s="44"/>
      <c r="AE85" s="42">
        <f t="shared" si="28"/>
        <v>2599</v>
      </c>
      <c r="AF85" s="44">
        <f t="shared" ref="AF85:AF142" si="50">V85-AA85</f>
        <v>2599</v>
      </c>
      <c r="AG85" s="42"/>
      <c r="AH85" s="44"/>
      <c r="AI85" s="42">
        <f t="shared" si="35"/>
        <v>2000</v>
      </c>
      <c r="AJ85" s="44"/>
      <c r="AK85" s="44">
        <v>2000</v>
      </c>
      <c r="AL85" s="44"/>
      <c r="AM85" s="44"/>
      <c r="AN85" s="28" t="s">
        <v>44</v>
      </c>
      <c r="AO85" s="20">
        <f>ROUND(V85*0.95-AA85,-2)</f>
        <v>2200</v>
      </c>
    </row>
    <row r="86" spans="1:43" ht="33.75" x14ac:dyDescent="0.25">
      <c r="A86" s="89">
        <v>2</v>
      </c>
      <c r="B86" s="82" t="s">
        <v>207</v>
      </c>
      <c r="C86" s="39">
        <v>8009688</v>
      </c>
      <c r="D86" s="40" t="s">
        <v>40</v>
      </c>
      <c r="E86" s="25"/>
      <c r="F86" s="25"/>
      <c r="G86" s="66" t="s">
        <v>205</v>
      </c>
      <c r="H86" s="56" t="s">
        <v>208</v>
      </c>
      <c r="I86" s="57">
        <v>17414</v>
      </c>
      <c r="J86" s="57">
        <v>17414</v>
      </c>
      <c r="K86" s="42">
        <f t="shared" si="37"/>
        <v>10500</v>
      </c>
      <c r="L86" s="44">
        <v>10500</v>
      </c>
      <c r="M86" s="42">
        <f>N86</f>
        <v>8000</v>
      </c>
      <c r="N86" s="44">
        <v>8000</v>
      </c>
      <c r="O86" s="42">
        <f>P86</f>
        <v>8000</v>
      </c>
      <c r="P86" s="44">
        <v>8000</v>
      </c>
      <c r="Q86" s="42">
        <f>R86</f>
        <v>8000</v>
      </c>
      <c r="R86" s="44">
        <v>8000</v>
      </c>
      <c r="S86" s="44">
        <v>13700</v>
      </c>
      <c r="T86" s="44">
        <v>13700</v>
      </c>
      <c r="U86" s="42"/>
      <c r="V86" s="44">
        <v>17414</v>
      </c>
      <c r="W86" s="42"/>
      <c r="X86" s="44"/>
      <c r="Y86" s="42"/>
      <c r="Z86" s="44"/>
      <c r="AA86" s="44">
        <v>13700</v>
      </c>
      <c r="AB86" s="44"/>
      <c r="AC86" s="42"/>
      <c r="AD86" s="44"/>
      <c r="AE86" s="42">
        <f t="shared" si="28"/>
        <v>3714</v>
      </c>
      <c r="AF86" s="44">
        <f t="shared" si="50"/>
        <v>3714</v>
      </c>
      <c r="AG86" s="42"/>
      <c r="AH86" s="44"/>
      <c r="AI86" s="42">
        <f t="shared" si="35"/>
        <v>2800</v>
      </c>
      <c r="AJ86" s="44"/>
      <c r="AK86" s="44">
        <v>2800</v>
      </c>
      <c r="AL86" s="44"/>
      <c r="AM86" s="44"/>
      <c r="AN86" s="28" t="s">
        <v>44</v>
      </c>
      <c r="AO86" s="20">
        <f>ROUND(V86*0.95-AA86,-2)</f>
        <v>2800</v>
      </c>
    </row>
    <row r="87" spans="1:43" ht="76.5" x14ac:dyDescent="0.25">
      <c r="A87" s="89">
        <v>3</v>
      </c>
      <c r="B87" s="82" t="s">
        <v>209</v>
      </c>
      <c r="C87" s="39"/>
      <c r="D87" s="40" t="s">
        <v>40</v>
      </c>
      <c r="E87" s="25"/>
      <c r="F87" s="25"/>
      <c r="G87" s="66" t="s">
        <v>205</v>
      </c>
      <c r="H87" s="56"/>
      <c r="I87" s="57">
        <v>15979</v>
      </c>
      <c r="J87" s="57">
        <v>15979</v>
      </c>
      <c r="L87" s="44"/>
      <c r="M87" s="42"/>
      <c r="N87" s="44"/>
      <c r="O87" s="42"/>
      <c r="P87" s="44"/>
      <c r="Q87" s="42"/>
      <c r="R87" s="44"/>
      <c r="S87" s="44"/>
      <c r="T87" s="44"/>
      <c r="U87" s="42"/>
      <c r="V87" s="57">
        <v>15979</v>
      </c>
      <c r="W87" s="42"/>
      <c r="X87" s="44"/>
      <c r="Y87" s="42"/>
      <c r="Z87" s="44"/>
      <c r="AA87" s="44"/>
      <c r="AB87" s="44"/>
      <c r="AC87" s="42"/>
      <c r="AD87" s="44"/>
      <c r="AE87" s="42"/>
      <c r="AF87" s="44"/>
      <c r="AG87" s="42"/>
      <c r="AH87" s="44"/>
      <c r="AI87" s="42">
        <f t="shared" si="35"/>
        <v>8831</v>
      </c>
      <c r="AJ87" s="44"/>
      <c r="AK87" s="44">
        <v>8831</v>
      </c>
      <c r="AL87" s="44"/>
      <c r="AM87" s="44"/>
      <c r="AN87" s="41" t="s">
        <v>210</v>
      </c>
      <c r="AO87" s="20"/>
    </row>
    <row r="88" spans="1:43" ht="27" customHeight="1" x14ac:dyDescent="0.25">
      <c r="A88" s="22" t="s">
        <v>211</v>
      </c>
      <c r="B88" s="23" t="s">
        <v>212</v>
      </c>
      <c r="C88" s="24"/>
      <c r="D88" s="24"/>
      <c r="E88" s="25"/>
      <c r="F88" s="25"/>
      <c r="G88" s="26"/>
      <c r="H88" s="26"/>
      <c r="I88" s="27">
        <f>I89</f>
        <v>181981</v>
      </c>
      <c r="J88" s="27">
        <f t="shared" ref="J88:AM89" si="51">J89</f>
        <v>181981</v>
      </c>
      <c r="K88" s="27">
        <f t="shared" si="51"/>
        <v>8000</v>
      </c>
      <c r="L88" s="27">
        <f t="shared" si="51"/>
        <v>8000</v>
      </c>
      <c r="M88" s="27">
        <f t="shared" si="51"/>
        <v>500</v>
      </c>
      <c r="N88" s="27">
        <f t="shared" si="51"/>
        <v>500</v>
      </c>
      <c r="O88" s="27">
        <f t="shared" si="51"/>
        <v>4800</v>
      </c>
      <c r="P88" s="27">
        <f t="shared" si="51"/>
        <v>4800</v>
      </c>
      <c r="Q88" s="27">
        <f t="shared" si="51"/>
        <v>20000</v>
      </c>
      <c r="R88" s="27">
        <f t="shared" si="51"/>
        <v>20000</v>
      </c>
      <c r="S88" s="27">
        <f t="shared" si="51"/>
        <v>40840</v>
      </c>
      <c r="T88" s="27">
        <f t="shared" si="51"/>
        <v>40840</v>
      </c>
      <c r="U88" s="27">
        <f t="shared" si="51"/>
        <v>0</v>
      </c>
      <c r="V88" s="27">
        <f t="shared" si="51"/>
        <v>129141</v>
      </c>
      <c r="W88" s="27">
        <f t="shared" si="51"/>
        <v>0</v>
      </c>
      <c r="X88" s="27">
        <f t="shared" si="51"/>
        <v>0</v>
      </c>
      <c r="Y88" s="27">
        <f t="shared" si="51"/>
        <v>0</v>
      </c>
      <c r="Z88" s="27">
        <f t="shared" si="51"/>
        <v>0</v>
      </c>
      <c r="AA88" s="27">
        <f t="shared" si="51"/>
        <v>10000</v>
      </c>
      <c r="AB88" s="27">
        <f t="shared" si="51"/>
        <v>0</v>
      </c>
      <c r="AC88" s="27">
        <f t="shared" si="51"/>
        <v>0</v>
      </c>
      <c r="AD88" s="27">
        <f t="shared" si="51"/>
        <v>0</v>
      </c>
      <c r="AE88" s="27">
        <f t="shared" si="51"/>
        <v>119141</v>
      </c>
      <c r="AF88" s="27">
        <f t="shared" si="51"/>
        <v>119141</v>
      </c>
      <c r="AG88" s="27">
        <f t="shared" si="51"/>
        <v>0</v>
      </c>
      <c r="AH88" s="27">
        <f t="shared" si="51"/>
        <v>0</v>
      </c>
      <c r="AI88" s="27">
        <f t="shared" si="51"/>
        <v>50000</v>
      </c>
      <c r="AJ88" s="27">
        <f t="shared" si="51"/>
        <v>12000</v>
      </c>
      <c r="AK88" s="27">
        <f t="shared" si="51"/>
        <v>25000</v>
      </c>
      <c r="AL88" s="27">
        <f t="shared" si="51"/>
        <v>0</v>
      </c>
      <c r="AM88" s="27">
        <f t="shared" si="51"/>
        <v>13000</v>
      </c>
      <c r="AN88" s="28"/>
      <c r="AO88" s="20">
        <f t="shared" si="34"/>
        <v>106200</v>
      </c>
    </row>
    <row r="89" spans="1:43" ht="27" x14ac:dyDescent="0.25">
      <c r="A89" s="65"/>
      <c r="B89" s="30" t="s">
        <v>198</v>
      </c>
      <c r="C89" s="24"/>
      <c r="D89" s="53"/>
      <c r="E89" s="25"/>
      <c r="F89" s="25"/>
      <c r="G89" s="26"/>
      <c r="H89" s="53"/>
      <c r="I89" s="34">
        <f>I90</f>
        <v>181981</v>
      </c>
      <c r="J89" s="34">
        <f t="shared" si="51"/>
        <v>181981</v>
      </c>
      <c r="K89" s="34">
        <f t="shared" si="51"/>
        <v>8000</v>
      </c>
      <c r="L89" s="34">
        <f t="shared" si="51"/>
        <v>8000</v>
      </c>
      <c r="M89" s="34">
        <f t="shared" si="51"/>
        <v>500</v>
      </c>
      <c r="N89" s="34">
        <f t="shared" si="51"/>
        <v>500</v>
      </c>
      <c r="O89" s="34">
        <f t="shared" si="51"/>
        <v>4800</v>
      </c>
      <c r="P89" s="34">
        <f t="shared" si="51"/>
        <v>4800</v>
      </c>
      <c r="Q89" s="34">
        <f t="shared" si="51"/>
        <v>20000</v>
      </c>
      <c r="R89" s="34">
        <f t="shared" si="51"/>
        <v>20000</v>
      </c>
      <c r="S89" s="34">
        <f t="shared" si="51"/>
        <v>40840</v>
      </c>
      <c r="T89" s="34">
        <f t="shared" si="51"/>
        <v>40840</v>
      </c>
      <c r="U89" s="34">
        <f t="shared" si="51"/>
        <v>0</v>
      </c>
      <c r="V89" s="34">
        <f t="shared" si="51"/>
        <v>129141</v>
      </c>
      <c r="W89" s="34">
        <f t="shared" si="51"/>
        <v>0</v>
      </c>
      <c r="X89" s="34">
        <f t="shared" si="51"/>
        <v>0</v>
      </c>
      <c r="Y89" s="34">
        <f t="shared" si="51"/>
        <v>0</v>
      </c>
      <c r="Z89" s="34">
        <f t="shared" si="51"/>
        <v>0</v>
      </c>
      <c r="AA89" s="34">
        <f t="shared" si="51"/>
        <v>10000</v>
      </c>
      <c r="AB89" s="34">
        <f t="shared" si="51"/>
        <v>0</v>
      </c>
      <c r="AC89" s="34">
        <f t="shared" si="51"/>
        <v>0</v>
      </c>
      <c r="AD89" s="34">
        <f t="shared" si="51"/>
        <v>0</v>
      </c>
      <c r="AE89" s="34">
        <f t="shared" si="51"/>
        <v>119141</v>
      </c>
      <c r="AF89" s="34">
        <f t="shared" si="51"/>
        <v>119141</v>
      </c>
      <c r="AG89" s="34">
        <f t="shared" si="51"/>
        <v>0</v>
      </c>
      <c r="AH89" s="34">
        <f t="shared" si="51"/>
        <v>0</v>
      </c>
      <c r="AI89" s="34">
        <f t="shared" si="51"/>
        <v>50000</v>
      </c>
      <c r="AJ89" s="34">
        <f t="shared" si="51"/>
        <v>12000</v>
      </c>
      <c r="AK89" s="34">
        <f t="shared" si="51"/>
        <v>25000</v>
      </c>
      <c r="AL89" s="34">
        <f t="shared" si="51"/>
        <v>0</v>
      </c>
      <c r="AM89" s="34">
        <f t="shared" si="51"/>
        <v>13000</v>
      </c>
      <c r="AN89" s="28"/>
      <c r="AO89" s="20">
        <f t="shared" si="34"/>
        <v>106200</v>
      </c>
    </row>
    <row r="90" spans="1:43" ht="56.25" x14ac:dyDescent="0.25">
      <c r="A90" s="89">
        <v>1</v>
      </c>
      <c r="B90" s="92" t="s">
        <v>213</v>
      </c>
      <c r="C90" s="24">
        <v>7050591</v>
      </c>
      <c r="D90" s="40" t="s">
        <v>40</v>
      </c>
      <c r="E90" s="25"/>
      <c r="F90" s="25"/>
      <c r="G90" s="40" t="s">
        <v>42</v>
      </c>
      <c r="H90" s="56" t="s">
        <v>214</v>
      </c>
      <c r="I90" s="62">
        <v>181981</v>
      </c>
      <c r="J90" s="62">
        <v>181981</v>
      </c>
      <c r="K90" s="42">
        <f t="shared" ref="K90:K150" si="52">L90</f>
        <v>8000</v>
      </c>
      <c r="L90" s="44">
        <v>8000</v>
      </c>
      <c r="M90" s="44">
        <f>N90</f>
        <v>500</v>
      </c>
      <c r="N90" s="44">
        <v>500</v>
      </c>
      <c r="O90" s="42">
        <f>P90</f>
        <v>4800</v>
      </c>
      <c r="P90" s="42">
        <f>L90*0.6</f>
        <v>4800</v>
      </c>
      <c r="Q90" s="42">
        <f>R90</f>
        <v>20000</v>
      </c>
      <c r="R90" s="44">
        <v>20000</v>
      </c>
      <c r="S90" s="42">
        <f>I90-129141-12000</f>
        <v>40840</v>
      </c>
      <c r="T90" s="42">
        <f>J90-129141-12000</f>
        <v>40840</v>
      </c>
      <c r="U90" s="34"/>
      <c r="V90" s="62">
        <v>129141</v>
      </c>
      <c r="W90" s="62"/>
      <c r="X90" s="62"/>
      <c r="Y90" s="62"/>
      <c r="Z90" s="62"/>
      <c r="AA90" s="62">
        <f>22000-12000</f>
        <v>10000</v>
      </c>
      <c r="AB90" s="62"/>
      <c r="AC90" s="62"/>
      <c r="AD90" s="62"/>
      <c r="AE90" s="42">
        <f t="shared" ref="AE90:AE150" si="53">AF90</f>
        <v>119141</v>
      </c>
      <c r="AF90" s="42">
        <f t="shared" si="50"/>
        <v>119141</v>
      </c>
      <c r="AG90" s="62"/>
      <c r="AH90" s="62"/>
      <c r="AI90" s="42">
        <f t="shared" si="35"/>
        <v>50000</v>
      </c>
      <c r="AJ90" s="42">
        <v>12000</v>
      </c>
      <c r="AK90" s="42">
        <v>25000</v>
      </c>
      <c r="AL90" s="42"/>
      <c r="AM90" s="42">
        <f>20000-7000</f>
        <v>13000</v>
      </c>
      <c r="AN90" s="28" t="s">
        <v>215</v>
      </c>
      <c r="AO90" s="20">
        <f>ROUND(V90*0.6-AA90,-2)</f>
        <v>67500</v>
      </c>
      <c r="AP90" s="2">
        <f>AI90-AO90</f>
        <v>-17500</v>
      </c>
    </row>
    <row r="91" spans="1:43" ht="27" customHeight="1" x14ac:dyDescent="0.25">
      <c r="A91" s="22" t="s">
        <v>216</v>
      </c>
      <c r="B91" s="23" t="s">
        <v>217</v>
      </c>
      <c r="C91" s="104"/>
      <c r="D91" s="26"/>
      <c r="E91" s="25"/>
      <c r="F91" s="25"/>
      <c r="G91" s="26"/>
      <c r="H91" s="25"/>
      <c r="I91" s="27">
        <f>I92</f>
        <v>38000</v>
      </c>
      <c r="J91" s="27">
        <f t="shared" ref="J91:AM92" si="54">J92</f>
        <v>38000</v>
      </c>
      <c r="K91" s="27">
        <f t="shared" si="54"/>
        <v>11000</v>
      </c>
      <c r="L91" s="27">
        <f t="shared" si="54"/>
        <v>11000</v>
      </c>
      <c r="M91" s="27">
        <f t="shared" si="54"/>
        <v>400</v>
      </c>
      <c r="N91" s="27">
        <f t="shared" si="54"/>
        <v>400</v>
      </c>
      <c r="O91" s="27">
        <f t="shared" si="54"/>
        <v>6600</v>
      </c>
      <c r="P91" s="27">
        <f t="shared" si="54"/>
        <v>6600</v>
      </c>
      <c r="Q91" s="27">
        <f t="shared" si="54"/>
        <v>11000</v>
      </c>
      <c r="R91" s="27">
        <f t="shared" si="54"/>
        <v>11000</v>
      </c>
      <c r="S91" s="27">
        <f t="shared" si="54"/>
        <v>18400</v>
      </c>
      <c r="T91" s="27">
        <f t="shared" si="54"/>
        <v>18400</v>
      </c>
      <c r="U91" s="27">
        <f t="shared" si="54"/>
        <v>0</v>
      </c>
      <c r="V91" s="27">
        <f t="shared" si="54"/>
        <v>38000</v>
      </c>
      <c r="W91" s="27">
        <f t="shared" si="54"/>
        <v>0</v>
      </c>
      <c r="X91" s="27">
        <f t="shared" si="54"/>
        <v>0</v>
      </c>
      <c r="Y91" s="27">
        <f t="shared" si="54"/>
        <v>0</v>
      </c>
      <c r="Z91" s="27">
        <f t="shared" si="54"/>
        <v>0</v>
      </c>
      <c r="AA91" s="27">
        <f t="shared" si="54"/>
        <v>18400</v>
      </c>
      <c r="AB91" s="27">
        <f t="shared" si="54"/>
        <v>0</v>
      </c>
      <c r="AC91" s="27">
        <f t="shared" si="54"/>
        <v>0</v>
      </c>
      <c r="AD91" s="27">
        <f t="shared" si="54"/>
        <v>0</v>
      </c>
      <c r="AE91" s="27">
        <f t="shared" si="54"/>
        <v>19600</v>
      </c>
      <c r="AF91" s="27">
        <f t="shared" si="54"/>
        <v>19600</v>
      </c>
      <c r="AG91" s="27">
        <f t="shared" si="54"/>
        <v>0</v>
      </c>
      <c r="AH91" s="27">
        <f t="shared" si="54"/>
        <v>0</v>
      </c>
      <c r="AI91" s="27">
        <f t="shared" si="54"/>
        <v>17000</v>
      </c>
      <c r="AJ91" s="27">
        <f t="shared" si="54"/>
        <v>11200</v>
      </c>
      <c r="AK91" s="27">
        <f t="shared" si="54"/>
        <v>5800</v>
      </c>
      <c r="AL91" s="27">
        <f t="shared" si="54"/>
        <v>0</v>
      </c>
      <c r="AM91" s="27">
        <f t="shared" si="54"/>
        <v>0</v>
      </c>
      <c r="AN91" s="28"/>
      <c r="AO91" s="20">
        <f t="shared" si="34"/>
        <v>15800</v>
      </c>
    </row>
    <row r="92" spans="1:43" x14ac:dyDescent="0.25">
      <c r="A92" s="65"/>
      <c r="B92" s="30" t="s">
        <v>218</v>
      </c>
      <c r="C92" s="28"/>
      <c r="D92" s="53"/>
      <c r="E92" s="25"/>
      <c r="F92" s="25"/>
      <c r="G92" s="26"/>
      <c r="H92" s="53"/>
      <c r="I92" s="34">
        <f>I93</f>
        <v>38000</v>
      </c>
      <c r="J92" s="34">
        <f t="shared" si="54"/>
        <v>38000</v>
      </c>
      <c r="K92" s="34">
        <f t="shared" si="54"/>
        <v>11000</v>
      </c>
      <c r="L92" s="34">
        <f t="shared" si="54"/>
        <v>11000</v>
      </c>
      <c r="M92" s="34">
        <f t="shared" si="54"/>
        <v>400</v>
      </c>
      <c r="N92" s="34">
        <f t="shared" si="54"/>
        <v>400</v>
      </c>
      <c r="O92" s="34">
        <f t="shared" si="54"/>
        <v>6600</v>
      </c>
      <c r="P92" s="34">
        <f t="shared" si="54"/>
        <v>6600</v>
      </c>
      <c r="Q92" s="34">
        <f t="shared" si="54"/>
        <v>11000</v>
      </c>
      <c r="R92" s="34">
        <f t="shared" si="54"/>
        <v>11000</v>
      </c>
      <c r="S92" s="34">
        <f t="shared" si="54"/>
        <v>18400</v>
      </c>
      <c r="T92" s="34">
        <f t="shared" si="54"/>
        <v>18400</v>
      </c>
      <c r="U92" s="34">
        <f t="shared" si="54"/>
        <v>0</v>
      </c>
      <c r="V92" s="34">
        <f t="shared" si="54"/>
        <v>38000</v>
      </c>
      <c r="W92" s="34">
        <f t="shared" si="54"/>
        <v>0</v>
      </c>
      <c r="X92" s="34">
        <f t="shared" si="54"/>
        <v>0</v>
      </c>
      <c r="Y92" s="34">
        <f t="shared" si="54"/>
        <v>0</v>
      </c>
      <c r="Z92" s="34">
        <f t="shared" si="54"/>
        <v>0</v>
      </c>
      <c r="AA92" s="34">
        <f t="shared" si="54"/>
        <v>18400</v>
      </c>
      <c r="AB92" s="34">
        <f t="shared" si="54"/>
        <v>0</v>
      </c>
      <c r="AC92" s="34">
        <f t="shared" si="54"/>
        <v>0</v>
      </c>
      <c r="AD92" s="34">
        <f t="shared" si="54"/>
        <v>0</v>
      </c>
      <c r="AE92" s="34">
        <f t="shared" si="54"/>
        <v>19600</v>
      </c>
      <c r="AF92" s="34">
        <f t="shared" si="54"/>
        <v>19600</v>
      </c>
      <c r="AG92" s="34">
        <f t="shared" si="54"/>
        <v>0</v>
      </c>
      <c r="AH92" s="34">
        <f t="shared" si="54"/>
        <v>0</v>
      </c>
      <c r="AI92" s="34">
        <f t="shared" si="54"/>
        <v>17000</v>
      </c>
      <c r="AJ92" s="34">
        <f t="shared" si="54"/>
        <v>11200</v>
      </c>
      <c r="AK92" s="34">
        <f t="shared" si="54"/>
        <v>5800</v>
      </c>
      <c r="AL92" s="34">
        <f t="shared" si="54"/>
        <v>0</v>
      </c>
      <c r="AM92" s="34">
        <f t="shared" si="54"/>
        <v>0</v>
      </c>
      <c r="AN92" s="28"/>
      <c r="AO92" s="20">
        <f t="shared" si="34"/>
        <v>15800</v>
      </c>
    </row>
    <row r="93" spans="1:43" ht="44.25" customHeight="1" x14ac:dyDescent="0.25">
      <c r="A93" s="89">
        <v>1</v>
      </c>
      <c r="B93" s="100" t="s">
        <v>219</v>
      </c>
      <c r="C93" s="41">
        <v>7940856</v>
      </c>
      <c r="D93" s="66" t="s">
        <v>40</v>
      </c>
      <c r="E93" s="25"/>
      <c r="F93" s="25"/>
      <c r="G93" s="40" t="s">
        <v>42</v>
      </c>
      <c r="H93" s="105" t="s">
        <v>127</v>
      </c>
      <c r="I93" s="43">
        <v>38000</v>
      </c>
      <c r="J93" s="43">
        <v>38000</v>
      </c>
      <c r="K93" s="42">
        <f t="shared" ref="K93" si="55">L93</f>
        <v>11000</v>
      </c>
      <c r="L93" s="43">
        <v>11000</v>
      </c>
      <c r="M93" s="43">
        <v>400</v>
      </c>
      <c r="N93" s="43">
        <v>400</v>
      </c>
      <c r="O93" s="42">
        <f>P93</f>
        <v>6600</v>
      </c>
      <c r="P93" s="42">
        <f>L93*0.6</f>
        <v>6600</v>
      </c>
      <c r="Q93" s="42">
        <f>R93</f>
        <v>11000</v>
      </c>
      <c r="R93" s="43">
        <v>11000</v>
      </c>
      <c r="S93" s="43">
        <v>18400</v>
      </c>
      <c r="T93" s="43">
        <v>18400</v>
      </c>
      <c r="U93" s="44"/>
      <c r="V93" s="43">
        <v>38000</v>
      </c>
      <c r="W93" s="44"/>
      <c r="X93" s="44"/>
      <c r="Y93" s="44"/>
      <c r="Z93" s="44"/>
      <c r="AA93" s="43">
        <v>18400</v>
      </c>
      <c r="AB93" s="44"/>
      <c r="AC93" s="44"/>
      <c r="AD93" s="44"/>
      <c r="AE93" s="42">
        <f t="shared" ref="AE93" si="56">AF93</f>
        <v>19600</v>
      </c>
      <c r="AF93" s="42">
        <f t="shared" ref="AF93" si="57">V93-AA93</f>
        <v>19600</v>
      </c>
      <c r="AG93" s="44"/>
      <c r="AH93" s="44"/>
      <c r="AI93" s="42">
        <f t="shared" ref="AI93" si="58">SUM(AJ93:AM93)</f>
        <v>17000</v>
      </c>
      <c r="AJ93" s="42">
        <f>10300+900</f>
        <v>11200</v>
      </c>
      <c r="AK93" s="42">
        <f>6700-900</f>
        <v>5800</v>
      </c>
      <c r="AL93" s="42"/>
      <c r="AM93" s="42"/>
      <c r="AN93" s="28" t="s">
        <v>44</v>
      </c>
      <c r="AO93" s="20">
        <f>ROUND(V93*0.95-AA93,-2)</f>
        <v>17700</v>
      </c>
    </row>
    <row r="94" spans="1:43" ht="29.25" customHeight="1" x14ac:dyDescent="0.25">
      <c r="A94" s="22" t="s">
        <v>220</v>
      </c>
      <c r="B94" s="23" t="s">
        <v>221</v>
      </c>
      <c r="C94" s="24"/>
      <c r="D94" s="24"/>
      <c r="E94" s="25"/>
      <c r="F94" s="25"/>
      <c r="G94" s="26"/>
      <c r="H94" s="26"/>
      <c r="I94" s="27">
        <f t="shared" ref="I94:AM94" si="59">I95+I109+I113+I117+I121+I126+I130+I134+I139+I141+I143+I147+I151+I153</f>
        <v>708954</v>
      </c>
      <c r="J94" s="27">
        <f t="shared" si="59"/>
        <v>621555</v>
      </c>
      <c r="K94" s="27">
        <f t="shared" si="59"/>
        <v>205762.432</v>
      </c>
      <c r="L94" s="27">
        <f t="shared" si="59"/>
        <v>205762.432</v>
      </c>
      <c r="M94" s="27">
        <f t="shared" si="59"/>
        <v>85463</v>
      </c>
      <c r="N94" s="27">
        <f t="shared" si="59"/>
        <v>85463</v>
      </c>
      <c r="O94" s="27">
        <f t="shared" si="59"/>
        <v>131603.6</v>
      </c>
      <c r="P94" s="27">
        <f t="shared" si="59"/>
        <v>131603.6</v>
      </c>
      <c r="Q94" s="27">
        <f t="shared" si="59"/>
        <v>170511</v>
      </c>
      <c r="R94" s="27">
        <f t="shared" si="59"/>
        <v>170511</v>
      </c>
      <c r="S94" s="27">
        <f t="shared" si="59"/>
        <v>333666.43200000003</v>
      </c>
      <c r="T94" s="27">
        <f t="shared" si="59"/>
        <v>334666.43200000003</v>
      </c>
      <c r="U94" s="27">
        <f t="shared" si="59"/>
        <v>0</v>
      </c>
      <c r="V94" s="27">
        <f t="shared" si="59"/>
        <v>621754</v>
      </c>
      <c r="W94" s="27">
        <f t="shared" si="59"/>
        <v>0</v>
      </c>
      <c r="X94" s="27">
        <f t="shared" si="59"/>
        <v>0</v>
      </c>
      <c r="Y94" s="27">
        <f t="shared" si="59"/>
        <v>0</v>
      </c>
      <c r="Z94" s="27">
        <f t="shared" si="59"/>
        <v>0</v>
      </c>
      <c r="AA94" s="27">
        <f t="shared" si="59"/>
        <v>334665.973</v>
      </c>
      <c r="AB94" s="27">
        <f t="shared" si="59"/>
        <v>0</v>
      </c>
      <c r="AC94" s="27">
        <f t="shared" si="59"/>
        <v>0</v>
      </c>
      <c r="AD94" s="27">
        <f t="shared" si="59"/>
        <v>0</v>
      </c>
      <c r="AE94" s="27">
        <f t="shared" si="59"/>
        <v>286889.027</v>
      </c>
      <c r="AF94" s="27">
        <f t="shared" si="59"/>
        <v>286889.027</v>
      </c>
      <c r="AG94" s="27">
        <f t="shared" si="59"/>
        <v>0</v>
      </c>
      <c r="AH94" s="27">
        <f t="shared" si="59"/>
        <v>0</v>
      </c>
      <c r="AI94" s="27">
        <f t="shared" si="59"/>
        <v>227700</v>
      </c>
      <c r="AJ94" s="27">
        <f t="shared" si="59"/>
        <v>227700</v>
      </c>
      <c r="AK94" s="27">
        <f t="shared" si="59"/>
        <v>0</v>
      </c>
      <c r="AL94" s="27">
        <f t="shared" si="59"/>
        <v>0</v>
      </c>
      <c r="AM94" s="27">
        <f t="shared" si="59"/>
        <v>0</v>
      </c>
      <c r="AN94" s="28"/>
      <c r="AO94" s="20">
        <f t="shared" si="34"/>
        <v>224900</v>
      </c>
    </row>
    <row r="95" spans="1:43" ht="27.75" customHeight="1" x14ac:dyDescent="0.25">
      <c r="A95" s="106"/>
      <c r="B95" s="106" t="s">
        <v>222</v>
      </c>
      <c r="C95" s="24"/>
      <c r="D95" s="107"/>
      <c r="E95" s="25"/>
      <c r="F95" s="25"/>
      <c r="G95" s="26"/>
      <c r="H95" s="26"/>
      <c r="I95" s="27">
        <f>SUM(I96:I108)</f>
        <v>222400</v>
      </c>
      <c r="J95" s="27">
        <f t="shared" ref="J95:AM95" si="60">SUM(J96:J108)</f>
        <v>186000</v>
      </c>
      <c r="K95" s="27">
        <f t="shared" si="60"/>
        <v>52731</v>
      </c>
      <c r="L95" s="27">
        <f t="shared" si="60"/>
        <v>52731</v>
      </c>
      <c r="M95" s="27">
        <f t="shared" si="60"/>
        <v>10524</v>
      </c>
      <c r="N95" s="27">
        <f t="shared" si="60"/>
        <v>10524</v>
      </c>
      <c r="O95" s="27">
        <f t="shared" si="60"/>
        <v>31938.6</v>
      </c>
      <c r="P95" s="27">
        <f t="shared" si="60"/>
        <v>31938.6</v>
      </c>
      <c r="Q95" s="27">
        <f t="shared" si="60"/>
        <v>55531</v>
      </c>
      <c r="R95" s="27">
        <f t="shared" si="60"/>
        <v>55531</v>
      </c>
      <c r="S95" s="27">
        <f t="shared" si="60"/>
        <v>65931</v>
      </c>
      <c r="T95" s="27">
        <f t="shared" si="60"/>
        <v>65931</v>
      </c>
      <c r="U95" s="27">
        <f t="shared" si="60"/>
        <v>0</v>
      </c>
      <c r="V95" s="27">
        <f t="shared" si="60"/>
        <v>186000</v>
      </c>
      <c r="W95" s="27">
        <f t="shared" si="60"/>
        <v>0</v>
      </c>
      <c r="X95" s="27">
        <f t="shared" si="60"/>
        <v>0</v>
      </c>
      <c r="Y95" s="27">
        <f t="shared" si="60"/>
        <v>0</v>
      </c>
      <c r="Z95" s="27">
        <f t="shared" si="60"/>
        <v>0</v>
      </c>
      <c r="AA95" s="27">
        <f t="shared" si="60"/>
        <v>65931</v>
      </c>
      <c r="AB95" s="27">
        <f t="shared" si="60"/>
        <v>0</v>
      </c>
      <c r="AC95" s="27">
        <f t="shared" si="60"/>
        <v>0</v>
      </c>
      <c r="AD95" s="27">
        <f t="shared" si="60"/>
        <v>0</v>
      </c>
      <c r="AE95" s="27">
        <f t="shared" si="60"/>
        <v>120069</v>
      </c>
      <c r="AF95" s="27">
        <f t="shared" si="60"/>
        <v>120069</v>
      </c>
      <c r="AG95" s="27">
        <f t="shared" si="60"/>
        <v>0</v>
      </c>
      <c r="AH95" s="27">
        <f t="shared" si="60"/>
        <v>0</v>
      </c>
      <c r="AI95" s="27">
        <f t="shared" si="60"/>
        <v>78500</v>
      </c>
      <c r="AJ95" s="27">
        <f t="shared" si="60"/>
        <v>78500</v>
      </c>
      <c r="AK95" s="27">
        <f t="shared" si="60"/>
        <v>0</v>
      </c>
      <c r="AL95" s="27">
        <f t="shared" si="60"/>
        <v>0</v>
      </c>
      <c r="AM95" s="27">
        <f t="shared" si="60"/>
        <v>0</v>
      </c>
      <c r="AN95" s="28"/>
      <c r="AO95" s="20">
        <f t="shared" si="34"/>
        <v>101500</v>
      </c>
    </row>
    <row r="96" spans="1:43" ht="45" x14ac:dyDescent="0.25">
      <c r="A96" s="37">
        <v>1</v>
      </c>
      <c r="B96" s="82" t="s">
        <v>223</v>
      </c>
      <c r="C96" s="40">
        <v>7955509</v>
      </c>
      <c r="D96" s="40" t="s">
        <v>84</v>
      </c>
      <c r="E96" s="25"/>
      <c r="F96" s="25"/>
      <c r="G96" s="40" t="s">
        <v>85</v>
      </c>
      <c r="H96" s="56" t="s">
        <v>224</v>
      </c>
      <c r="I96" s="42">
        <v>8000</v>
      </c>
      <c r="J96" s="42">
        <v>6000</v>
      </c>
      <c r="K96" s="42">
        <f t="shared" si="52"/>
        <v>4700</v>
      </c>
      <c r="L96" s="42">
        <v>4700</v>
      </c>
      <c r="M96" s="42">
        <f>N96</f>
        <v>2500</v>
      </c>
      <c r="N96" s="42">
        <v>2500</v>
      </c>
      <c r="O96" s="42">
        <f t="shared" ref="O96:O108" si="61">P96</f>
        <v>2500</v>
      </c>
      <c r="P96" s="42">
        <v>2500</v>
      </c>
      <c r="Q96" s="42">
        <f t="shared" ref="Q96:Q101" si="62">R96</f>
        <v>2500</v>
      </c>
      <c r="R96" s="42">
        <v>2500</v>
      </c>
      <c r="S96" s="42">
        <f t="shared" ref="S96:S108" si="63">T96</f>
        <v>5700</v>
      </c>
      <c r="T96" s="42">
        <v>5700</v>
      </c>
      <c r="U96" s="25"/>
      <c r="V96" s="42">
        <v>6000</v>
      </c>
      <c r="W96" s="108"/>
      <c r="X96" s="25"/>
      <c r="Y96" s="25"/>
      <c r="Z96" s="25"/>
      <c r="AA96" s="42">
        <v>5700</v>
      </c>
      <c r="AB96" s="83"/>
      <c r="AC96" s="25"/>
      <c r="AD96" s="25"/>
      <c r="AE96" s="42">
        <f t="shared" si="53"/>
        <v>300</v>
      </c>
      <c r="AF96" s="42">
        <f t="shared" si="50"/>
        <v>300</v>
      </c>
      <c r="AG96" s="25"/>
      <c r="AH96" s="25"/>
      <c r="AI96" s="42">
        <f t="shared" si="35"/>
        <v>300</v>
      </c>
      <c r="AJ96" s="42">
        <v>300</v>
      </c>
      <c r="AK96" s="42"/>
      <c r="AL96" s="42"/>
      <c r="AM96" s="42"/>
      <c r="AN96" s="28" t="s">
        <v>44</v>
      </c>
      <c r="AO96" s="20">
        <f t="shared" si="34"/>
        <v>-300</v>
      </c>
    </row>
    <row r="97" spans="1:41" ht="45" x14ac:dyDescent="0.25">
      <c r="A97" s="37" t="s">
        <v>45</v>
      </c>
      <c r="B97" s="82" t="s">
        <v>225</v>
      </c>
      <c r="C97" s="40">
        <v>7958020</v>
      </c>
      <c r="D97" s="40" t="s">
        <v>84</v>
      </c>
      <c r="E97" s="25"/>
      <c r="F97" s="25"/>
      <c r="G97" s="40" t="s">
        <v>85</v>
      </c>
      <c r="H97" s="40" t="s">
        <v>226</v>
      </c>
      <c r="I97" s="109">
        <v>25000</v>
      </c>
      <c r="J97" s="109">
        <v>17000</v>
      </c>
      <c r="K97" s="42">
        <f t="shared" si="52"/>
        <v>7300</v>
      </c>
      <c r="L97" s="42">
        <v>7300</v>
      </c>
      <c r="M97" s="42">
        <v>4426</v>
      </c>
      <c r="N97" s="42">
        <v>4426</v>
      </c>
      <c r="O97" s="42">
        <f t="shared" si="61"/>
        <v>5000</v>
      </c>
      <c r="P97" s="42">
        <v>5000</v>
      </c>
      <c r="Q97" s="42">
        <f t="shared" si="62"/>
        <v>5000</v>
      </c>
      <c r="R97" s="42">
        <v>5000</v>
      </c>
      <c r="S97" s="42">
        <f t="shared" si="63"/>
        <v>10500</v>
      </c>
      <c r="T97" s="42">
        <v>10500</v>
      </c>
      <c r="U97" s="25"/>
      <c r="V97" s="109">
        <v>17000</v>
      </c>
      <c r="W97" s="108"/>
      <c r="X97" s="25"/>
      <c r="Y97" s="25"/>
      <c r="Z97" s="25"/>
      <c r="AA97" s="42">
        <v>10500</v>
      </c>
      <c r="AB97" s="83"/>
      <c r="AC97" s="25"/>
      <c r="AD97" s="25"/>
      <c r="AE97" s="42">
        <f t="shared" si="53"/>
        <v>6500</v>
      </c>
      <c r="AF97" s="42">
        <f t="shared" si="50"/>
        <v>6500</v>
      </c>
      <c r="AG97" s="25"/>
      <c r="AH97" s="25"/>
      <c r="AI97" s="42">
        <f t="shared" si="35"/>
        <v>5700</v>
      </c>
      <c r="AJ97" s="42">
        <v>5700</v>
      </c>
      <c r="AK97" s="42"/>
      <c r="AL97" s="42"/>
      <c r="AM97" s="42"/>
      <c r="AN97" s="28" t="s">
        <v>44</v>
      </c>
      <c r="AO97" s="20">
        <f>ROUND(V97*0.95-AA97,-2)</f>
        <v>5700</v>
      </c>
    </row>
    <row r="98" spans="1:41" ht="45" x14ac:dyDescent="0.25">
      <c r="A98" s="37" t="s">
        <v>48</v>
      </c>
      <c r="B98" s="82" t="s">
        <v>227</v>
      </c>
      <c r="C98" s="40">
        <v>7957694</v>
      </c>
      <c r="D98" s="40" t="s">
        <v>84</v>
      </c>
      <c r="E98" s="25"/>
      <c r="F98" s="25"/>
      <c r="G98" s="40" t="s">
        <v>85</v>
      </c>
      <c r="H98" s="40" t="s">
        <v>228</v>
      </c>
      <c r="I98" s="109">
        <v>14000</v>
      </c>
      <c r="J98" s="109">
        <v>12500</v>
      </c>
      <c r="K98" s="42">
        <f t="shared" si="52"/>
        <v>2000</v>
      </c>
      <c r="L98" s="42">
        <v>2000</v>
      </c>
      <c r="M98" s="42"/>
      <c r="N98" s="42"/>
      <c r="O98" s="42">
        <f t="shared" si="61"/>
        <v>1200</v>
      </c>
      <c r="P98" s="42">
        <f t="shared" ref="P98:P108" si="64">L98*0.6</f>
        <v>1200</v>
      </c>
      <c r="Q98" s="42">
        <f t="shared" si="62"/>
        <v>4800</v>
      </c>
      <c r="R98" s="42">
        <v>4800</v>
      </c>
      <c r="S98" s="42">
        <f t="shared" si="63"/>
        <v>3500</v>
      </c>
      <c r="T98" s="42">
        <v>3500</v>
      </c>
      <c r="U98" s="25"/>
      <c r="V98" s="109">
        <v>12500</v>
      </c>
      <c r="W98" s="108"/>
      <c r="X98" s="25"/>
      <c r="Y98" s="25"/>
      <c r="Z98" s="25"/>
      <c r="AA98" s="42">
        <v>3500</v>
      </c>
      <c r="AB98" s="83"/>
      <c r="AC98" s="25"/>
      <c r="AD98" s="25"/>
      <c r="AE98" s="42">
        <f t="shared" si="53"/>
        <v>9000</v>
      </c>
      <c r="AF98" s="42">
        <f t="shared" si="50"/>
        <v>9000</v>
      </c>
      <c r="AG98" s="25"/>
      <c r="AH98" s="25"/>
      <c r="AI98" s="42">
        <f t="shared" si="35"/>
        <v>8400</v>
      </c>
      <c r="AJ98" s="42">
        <v>8400</v>
      </c>
      <c r="AK98" s="42"/>
      <c r="AL98" s="42"/>
      <c r="AM98" s="42"/>
      <c r="AN98" s="28" t="s">
        <v>44</v>
      </c>
      <c r="AO98" s="20">
        <f t="shared" ref="AO98:AO100" si="65">ROUND(V98*0.95-AA98,-2)</f>
        <v>8400</v>
      </c>
    </row>
    <row r="99" spans="1:41" ht="45" x14ac:dyDescent="0.25">
      <c r="A99" s="37" t="s">
        <v>51</v>
      </c>
      <c r="B99" s="82" t="s">
        <v>229</v>
      </c>
      <c r="C99" s="40">
        <v>7958021</v>
      </c>
      <c r="D99" s="40" t="s">
        <v>84</v>
      </c>
      <c r="E99" s="25"/>
      <c r="F99" s="25"/>
      <c r="G99" s="40" t="s">
        <v>85</v>
      </c>
      <c r="H99" s="40" t="s">
        <v>230</v>
      </c>
      <c r="I99" s="109">
        <v>26000</v>
      </c>
      <c r="J99" s="109">
        <v>24000</v>
      </c>
      <c r="K99" s="42">
        <f t="shared" si="52"/>
        <v>0</v>
      </c>
      <c r="L99" s="42">
        <v>0</v>
      </c>
      <c r="M99" s="42"/>
      <c r="N99" s="42"/>
      <c r="O99" s="42">
        <f t="shared" si="61"/>
        <v>0</v>
      </c>
      <c r="P99" s="42">
        <f t="shared" si="64"/>
        <v>0</v>
      </c>
      <c r="Q99" s="42">
        <f t="shared" si="62"/>
        <v>7000</v>
      </c>
      <c r="R99" s="42">
        <v>7000</v>
      </c>
      <c r="S99" s="42">
        <f t="shared" si="63"/>
        <v>4500</v>
      </c>
      <c r="T99" s="42">
        <v>4500</v>
      </c>
      <c r="U99" s="25"/>
      <c r="V99" s="109">
        <v>24000</v>
      </c>
      <c r="W99" s="108"/>
      <c r="X99" s="25"/>
      <c r="Y99" s="25"/>
      <c r="Z99" s="25"/>
      <c r="AA99" s="42">
        <v>4500</v>
      </c>
      <c r="AB99" s="83"/>
      <c r="AC99" s="25"/>
      <c r="AD99" s="25"/>
      <c r="AE99" s="42">
        <f t="shared" si="53"/>
        <v>19500</v>
      </c>
      <c r="AF99" s="42">
        <f t="shared" si="50"/>
        <v>19500</v>
      </c>
      <c r="AG99" s="25"/>
      <c r="AH99" s="25"/>
      <c r="AI99" s="42">
        <f t="shared" si="35"/>
        <v>18000</v>
      </c>
      <c r="AJ99" s="42">
        <v>18000</v>
      </c>
      <c r="AK99" s="42"/>
      <c r="AL99" s="42"/>
      <c r="AM99" s="42"/>
      <c r="AN99" s="28" t="s">
        <v>44</v>
      </c>
      <c r="AO99" s="20">
        <f t="shared" si="65"/>
        <v>18300</v>
      </c>
    </row>
    <row r="100" spans="1:41" ht="45" x14ac:dyDescent="0.25">
      <c r="A100" s="37" t="s">
        <v>54</v>
      </c>
      <c r="B100" s="82" t="s">
        <v>231</v>
      </c>
      <c r="C100" s="40">
        <v>7957696</v>
      </c>
      <c r="D100" s="40" t="s">
        <v>84</v>
      </c>
      <c r="E100" s="25"/>
      <c r="F100" s="25"/>
      <c r="G100" s="40" t="s">
        <v>85</v>
      </c>
      <c r="H100" s="40" t="s">
        <v>232</v>
      </c>
      <c r="I100" s="109">
        <v>14900</v>
      </c>
      <c r="J100" s="109">
        <v>12500</v>
      </c>
      <c r="K100" s="42">
        <f t="shared" si="52"/>
        <v>8000</v>
      </c>
      <c r="L100" s="42">
        <v>8000</v>
      </c>
      <c r="M100" s="42">
        <v>2209</v>
      </c>
      <c r="N100" s="42">
        <v>2209</v>
      </c>
      <c r="O100" s="42">
        <f t="shared" si="61"/>
        <v>4800</v>
      </c>
      <c r="P100" s="42">
        <f t="shared" si="64"/>
        <v>4800</v>
      </c>
      <c r="Q100" s="42">
        <f t="shared" si="62"/>
        <v>8000</v>
      </c>
      <c r="R100" s="42">
        <v>8000</v>
      </c>
      <c r="S100" s="42">
        <f t="shared" si="63"/>
        <v>9500</v>
      </c>
      <c r="T100" s="42">
        <v>9500</v>
      </c>
      <c r="U100" s="25"/>
      <c r="V100" s="109">
        <v>12500</v>
      </c>
      <c r="W100" s="108"/>
      <c r="X100" s="25"/>
      <c r="Y100" s="25"/>
      <c r="Z100" s="25"/>
      <c r="AA100" s="42">
        <v>9500</v>
      </c>
      <c r="AB100" s="83"/>
      <c r="AC100" s="25"/>
      <c r="AD100" s="25"/>
      <c r="AE100" s="42">
        <f t="shared" si="53"/>
        <v>3000</v>
      </c>
      <c r="AF100" s="42">
        <f t="shared" si="50"/>
        <v>3000</v>
      </c>
      <c r="AG100" s="25"/>
      <c r="AH100" s="25"/>
      <c r="AI100" s="42">
        <f t="shared" si="35"/>
        <v>2500</v>
      </c>
      <c r="AJ100" s="42">
        <v>2500</v>
      </c>
      <c r="AK100" s="42"/>
      <c r="AL100" s="42"/>
      <c r="AM100" s="42"/>
      <c r="AN100" s="28" t="s">
        <v>44</v>
      </c>
      <c r="AO100" s="20">
        <f t="shared" si="65"/>
        <v>2400</v>
      </c>
    </row>
    <row r="101" spans="1:41" ht="45" x14ac:dyDescent="0.25">
      <c r="A101" s="37" t="s">
        <v>233</v>
      </c>
      <c r="B101" s="82" t="s">
        <v>234</v>
      </c>
      <c r="C101" s="40">
        <v>7957695</v>
      </c>
      <c r="D101" s="40" t="s">
        <v>84</v>
      </c>
      <c r="E101" s="110"/>
      <c r="F101" s="110"/>
      <c r="G101" s="40" t="s">
        <v>85</v>
      </c>
      <c r="H101" s="40" t="s">
        <v>235</v>
      </c>
      <c r="I101" s="42">
        <v>14000</v>
      </c>
      <c r="J101" s="42">
        <v>12500</v>
      </c>
      <c r="K101" s="42">
        <f t="shared" si="52"/>
        <v>7500</v>
      </c>
      <c r="L101" s="42">
        <v>7500</v>
      </c>
      <c r="M101" s="42"/>
      <c r="N101" s="42"/>
      <c r="O101" s="42">
        <f t="shared" si="61"/>
        <v>4500</v>
      </c>
      <c r="P101" s="42">
        <f t="shared" si="64"/>
        <v>4500</v>
      </c>
      <c r="Q101" s="42">
        <f t="shared" si="62"/>
        <v>5000</v>
      </c>
      <c r="R101" s="42">
        <v>5000</v>
      </c>
      <c r="S101" s="42">
        <f t="shared" si="63"/>
        <v>9000</v>
      </c>
      <c r="T101" s="42">
        <f>6500+2500</f>
        <v>9000</v>
      </c>
      <c r="U101" s="111"/>
      <c r="V101" s="42">
        <v>12500</v>
      </c>
      <c r="W101" s="112"/>
      <c r="X101" s="111"/>
      <c r="Y101" s="111"/>
      <c r="Z101" s="111"/>
      <c r="AA101" s="42">
        <f>6500+2500</f>
        <v>9000</v>
      </c>
      <c r="AB101" s="113"/>
      <c r="AC101" s="111"/>
      <c r="AD101" s="111"/>
      <c r="AE101" s="42">
        <f t="shared" si="53"/>
        <v>3500</v>
      </c>
      <c r="AF101" s="42">
        <f t="shared" si="50"/>
        <v>3500</v>
      </c>
      <c r="AG101" s="111"/>
      <c r="AH101" s="111"/>
      <c r="AI101" s="42">
        <f t="shared" si="35"/>
        <v>3500</v>
      </c>
      <c r="AJ101" s="42">
        <v>3500</v>
      </c>
      <c r="AK101" s="42"/>
      <c r="AL101" s="42"/>
      <c r="AM101" s="42"/>
      <c r="AN101" s="28" t="s">
        <v>44</v>
      </c>
      <c r="AO101" s="20">
        <f>ROUND(V101*0.95-AA101,-2)</f>
        <v>2900</v>
      </c>
    </row>
    <row r="102" spans="1:41" ht="45" x14ac:dyDescent="0.25">
      <c r="A102" s="37" t="s">
        <v>236</v>
      </c>
      <c r="B102" s="51" t="s">
        <v>237</v>
      </c>
      <c r="C102" s="39">
        <v>8014111</v>
      </c>
      <c r="D102" s="40" t="s">
        <v>84</v>
      </c>
      <c r="E102" s="110"/>
      <c r="F102" s="110"/>
      <c r="G102" s="40" t="s">
        <v>85</v>
      </c>
      <c r="H102" s="40" t="s">
        <v>238</v>
      </c>
      <c r="I102" s="42">
        <v>6000</v>
      </c>
      <c r="J102" s="42">
        <v>4500</v>
      </c>
      <c r="K102" s="42">
        <f>L102</f>
        <v>1211</v>
      </c>
      <c r="L102" s="42">
        <v>1211</v>
      </c>
      <c r="M102" s="42">
        <v>195</v>
      </c>
      <c r="N102" s="42">
        <v>195</v>
      </c>
      <c r="O102" s="42">
        <f t="shared" si="61"/>
        <v>726.6</v>
      </c>
      <c r="P102" s="42">
        <f t="shared" si="64"/>
        <v>726.6</v>
      </c>
      <c r="Q102" s="42">
        <v>1211</v>
      </c>
      <c r="R102" s="42">
        <v>1211</v>
      </c>
      <c r="S102" s="42">
        <f t="shared" si="63"/>
        <v>1211</v>
      </c>
      <c r="T102" s="42">
        <f>L102</f>
        <v>1211</v>
      </c>
      <c r="U102" s="111"/>
      <c r="V102" s="42">
        <v>4500</v>
      </c>
      <c r="W102" s="112"/>
      <c r="X102" s="111"/>
      <c r="Y102" s="111"/>
      <c r="Z102" s="111"/>
      <c r="AA102" s="42">
        <f>T102</f>
        <v>1211</v>
      </c>
      <c r="AB102" s="113"/>
      <c r="AC102" s="111"/>
      <c r="AD102" s="111"/>
      <c r="AE102" s="42">
        <f t="shared" si="53"/>
        <v>3289</v>
      </c>
      <c r="AF102" s="42">
        <f t="shared" si="50"/>
        <v>3289</v>
      </c>
      <c r="AG102" s="111"/>
      <c r="AH102" s="111"/>
      <c r="AI102" s="42">
        <f t="shared" si="35"/>
        <v>1500</v>
      </c>
      <c r="AJ102" s="42">
        <v>1500</v>
      </c>
      <c r="AK102" s="42"/>
      <c r="AL102" s="42"/>
      <c r="AM102" s="42"/>
      <c r="AN102" s="28" t="s">
        <v>44</v>
      </c>
      <c r="AO102" s="20">
        <f t="shared" ref="AO102:AO107" si="66">ROUND(V102*0.6-AA102,-2)</f>
        <v>1500</v>
      </c>
    </row>
    <row r="103" spans="1:41" ht="46.5" customHeight="1" x14ac:dyDescent="0.25">
      <c r="A103" s="37" t="s">
        <v>239</v>
      </c>
      <c r="B103" s="51" t="s">
        <v>240</v>
      </c>
      <c r="C103" s="39">
        <v>8014106</v>
      </c>
      <c r="D103" s="40" t="s">
        <v>84</v>
      </c>
      <c r="E103" s="110"/>
      <c r="F103" s="110"/>
      <c r="G103" s="40" t="s">
        <v>85</v>
      </c>
      <c r="H103" s="40" t="s">
        <v>241</v>
      </c>
      <c r="I103" s="42">
        <v>14500</v>
      </c>
      <c r="J103" s="42">
        <v>13250</v>
      </c>
      <c r="K103" s="42">
        <f t="shared" ref="K103:K108" si="67">L103</f>
        <v>3146</v>
      </c>
      <c r="L103" s="42">
        <v>3146</v>
      </c>
      <c r="M103" s="42">
        <v>395</v>
      </c>
      <c r="N103" s="42">
        <v>395</v>
      </c>
      <c r="O103" s="42">
        <f t="shared" si="61"/>
        <v>1887.6</v>
      </c>
      <c r="P103" s="42">
        <f t="shared" si="64"/>
        <v>1887.6</v>
      </c>
      <c r="Q103" s="42">
        <v>3146</v>
      </c>
      <c r="R103" s="42">
        <v>3146</v>
      </c>
      <c r="S103" s="42">
        <f t="shared" si="63"/>
        <v>3146</v>
      </c>
      <c r="T103" s="42">
        <f t="shared" ref="T103:T108" si="68">L103</f>
        <v>3146</v>
      </c>
      <c r="U103" s="111"/>
      <c r="V103" s="42">
        <v>13250</v>
      </c>
      <c r="W103" s="112"/>
      <c r="X103" s="111"/>
      <c r="Y103" s="111"/>
      <c r="Z103" s="111"/>
      <c r="AA103" s="42">
        <f t="shared" ref="AA103:AA108" si="69">T103</f>
        <v>3146</v>
      </c>
      <c r="AB103" s="113"/>
      <c r="AC103" s="111"/>
      <c r="AD103" s="111"/>
      <c r="AE103" s="42">
        <f t="shared" si="53"/>
        <v>10104</v>
      </c>
      <c r="AF103" s="42">
        <f t="shared" si="50"/>
        <v>10104</v>
      </c>
      <c r="AG103" s="111"/>
      <c r="AH103" s="111"/>
      <c r="AI103" s="42">
        <f t="shared" si="35"/>
        <v>6000</v>
      </c>
      <c r="AJ103" s="42">
        <v>6000</v>
      </c>
      <c r="AK103" s="42"/>
      <c r="AL103" s="42"/>
      <c r="AM103" s="42"/>
      <c r="AN103" s="28" t="s">
        <v>44</v>
      </c>
      <c r="AO103" s="20">
        <f t="shared" si="66"/>
        <v>4800</v>
      </c>
    </row>
    <row r="104" spans="1:41" ht="38.25" customHeight="1" x14ac:dyDescent="0.25">
      <c r="A104" s="37" t="s">
        <v>242</v>
      </c>
      <c r="B104" s="51" t="s">
        <v>243</v>
      </c>
      <c r="C104" s="39">
        <v>8014107</v>
      </c>
      <c r="D104" s="40" t="s">
        <v>84</v>
      </c>
      <c r="E104" s="110"/>
      <c r="F104" s="110"/>
      <c r="G104" s="40" t="s">
        <v>85</v>
      </c>
      <c r="H104" s="40" t="s">
        <v>244</v>
      </c>
      <c r="I104" s="42">
        <v>19000</v>
      </c>
      <c r="J104" s="42">
        <v>14250</v>
      </c>
      <c r="K104" s="42">
        <f t="shared" si="67"/>
        <v>2987</v>
      </c>
      <c r="L104" s="42">
        <v>2987</v>
      </c>
      <c r="M104" s="42">
        <v>165</v>
      </c>
      <c r="N104" s="42">
        <v>165</v>
      </c>
      <c r="O104" s="42">
        <f t="shared" si="61"/>
        <v>1792.2</v>
      </c>
      <c r="P104" s="42">
        <f t="shared" si="64"/>
        <v>1792.2</v>
      </c>
      <c r="Q104" s="42">
        <v>2987</v>
      </c>
      <c r="R104" s="42">
        <v>2987</v>
      </c>
      <c r="S104" s="42">
        <f t="shared" si="63"/>
        <v>2987</v>
      </c>
      <c r="T104" s="42">
        <f t="shared" si="68"/>
        <v>2987</v>
      </c>
      <c r="U104" s="111"/>
      <c r="V104" s="42">
        <v>14250</v>
      </c>
      <c r="W104" s="112"/>
      <c r="X104" s="111"/>
      <c r="Y104" s="111"/>
      <c r="Z104" s="111"/>
      <c r="AA104" s="42">
        <f t="shared" si="69"/>
        <v>2987</v>
      </c>
      <c r="AB104" s="113"/>
      <c r="AC104" s="111"/>
      <c r="AD104" s="111"/>
      <c r="AE104" s="42">
        <f t="shared" si="53"/>
        <v>11263</v>
      </c>
      <c r="AF104" s="42">
        <f t="shared" si="50"/>
        <v>11263</v>
      </c>
      <c r="AG104" s="111"/>
      <c r="AH104" s="111"/>
      <c r="AI104" s="42">
        <f t="shared" si="35"/>
        <v>5000</v>
      </c>
      <c r="AJ104" s="42">
        <v>5000</v>
      </c>
      <c r="AK104" s="42"/>
      <c r="AL104" s="42"/>
      <c r="AM104" s="42"/>
      <c r="AN104" s="28" t="s">
        <v>44</v>
      </c>
      <c r="AO104" s="20">
        <f t="shared" si="66"/>
        <v>5600</v>
      </c>
    </row>
    <row r="105" spans="1:41" ht="45" x14ac:dyDescent="0.25">
      <c r="A105" s="37" t="s">
        <v>245</v>
      </c>
      <c r="B105" s="51" t="s">
        <v>246</v>
      </c>
      <c r="C105" s="39">
        <v>8014108</v>
      </c>
      <c r="D105" s="40" t="s">
        <v>84</v>
      </c>
      <c r="E105" s="110"/>
      <c r="F105" s="110"/>
      <c r="G105" s="40" t="s">
        <v>85</v>
      </c>
      <c r="H105" s="40" t="s">
        <v>247</v>
      </c>
      <c r="I105" s="42">
        <v>14000</v>
      </c>
      <c r="J105" s="42">
        <v>12500</v>
      </c>
      <c r="K105" s="42">
        <f t="shared" si="67"/>
        <v>2903</v>
      </c>
      <c r="L105" s="42">
        <v>2903</v>
      </c>
      <c r="M105" s="42"/>
      <c r="N105" s="42"/>
      <c r="O105" s="42">
        <f t="shared" si="61"/>
        <v>1741.8</v>
      </c>
      <c r="P105" s="42">
        <f t="shared" si="64"/>
        <v>1741.8</v>
      </c>
      <c r="Q105" s="42">
        <v>2903</v>
      </c>
      <c r="R105" s="42">
        <v>2903</v>
      </c>
      <c r="S105" s="42">
        <f t="shared" si="63"/>
        <v>2903</v>
      </c>
      <c r="T105" s="42">
        <f t="shared" si="68"/>
        <v>2903</v>
      </c>
      <c r="U105" s="111"/>
      <c r="V105" s="42">
        <v>12500</v>
      </c>
      <c r="W105" s="112"/>
      <c r="X105" s="111"/>
      <c r="Y105" s="111"/>
      <c r="Z105" s="111"/>
      <c r="AA105" s="42">
        <f t="shared" si="69"/>
        <v>2903</v>
      </c>
      <c r="AB105" s="113"/>
      <c r="AC105" s="111"/>
      <c r="AD105" s="111"/>
      <c r="AE105" s="42">
        <f t="shared" si="53"/>
        <v>9597</v>
      </c>
      <c r="AF105" s="42">
        <f t="shared" si="50"/>
        <v>9597</v>
      </c>
      <c r="AG105" s="111"/>
      <c r="AH105" s="111"/>
      <c r="AI105" s="42">
        <f t="shared" si="35"/>
        <v>6000</v>
      </c>
      <c r="AJ105" s="42">
        <v>6000</v>
      </c>
      <c r="AK105" s="42"/>
      <c r="AL105" s="42"/>
      <c r="AM105" s="42"/>
      <c r="AN105" s="28" t="s">
        <v>44</v>
      </c>
      <c r="AO105" s="20">
        <f t="shared" si="66"/>
        <v>4600</v>
      </c>
    </row>
    <row r="106" spans="1:41" ht="45" x14ac:dyDescent="0.25">
      <c r="A106" s="37" t="s">
        <v>248</v>
      </c>
      <c r="B106" s="51" t="s">
        <v>249</v>
      </c>
      <c r="C106" s="39">
        <v>8014110</v>
      </c>
      <c r="D106" s="40" t="s">
        <v>84</v>
      </c>
      <c r="E106" s="110"/>
      <c r="F106" s="110"/>
      <c r="G106" s="40" t="s">
        <v>85</v>
      </c>
      <c r="H106" s="40" t="s">
        <v>250</v>
      </c>
      <c r="I106" s="42">
        <v>12000</v>
      </c>
      <c r="J106" s="42">
        <v>10000</v>
      </c>
      <c r="K106" s="42">
        <f t="shared" si="67"/>
        <v>2290</v>
      </c>
      <c r="L106" s="42">
        <v>2290</v>
      </c>
      <c r="M106" s="42">
        <v>290</v>
      </c>
      <c r="N106" s="42">
        <v>290</v>
      </c>
      <c r="O106" s="42">
        <f t="shared" si="61"/>
        <v>1374</v>
      </c>
      <c r="P106" s="42">
        <f t="shared" si="64"/>
        <v>1374</v>
      </c>
      <c r="Q106" s="42">
        <v>2290</v>
      </c>
      <c r="R106" s="42">
        <v>2290</v>
      </c>
      <c r="S106" s="42">
        <f t="shared" si="63"/>
        <v>2290</v>
      </c>
      <c r="T106" s="42">
        <f t="shared" si="68"/>
        <v>2290</v>
      </c>
      <c r="U106" s="111"/>
      <c r="V106" s="42">
        <v>10000</v>
      </c>
      <c r="W106" s="112"/>
      <c r="X106" s="111"/>
      <c r="Y106" s="111"/>
      <c r="Z106" s="111"/>
      <c r="AA106" s="42">
        <f t="shared" si="69"/>
        <v>2290</v>
      </c>
      <c r="AB106" s="113"/>
      <c r="AC106" s="111"/>
      <c r="AD106" s="111"/>
      <c r="AE106" s="42">
        <f t="shared" si="53"/>
        <v>7710</v>
      </c>
      <c r="AF106" s="42">
        <f t="shared" si="50"/>
        <v>7710</v>
      </c>
      <c r="AG106" s="111"/>
      <c r="AH106" s="111"/>
      <c r="AI106" s="42">
        <f t="shared" si="35"/>
        <v>5000</v>
      </c>
      <c r="AJ106" s="42">
        <v>5000</v>
      </c>
      <c r="AK106" s="42"/>
      <c r="AL106" s="42"/>
      <c r="AM106" s="42"/>
      <c r="AN106" s="28" t="s">
        <v>44</v>
      </c>
      <c r="AO106" s="20">
        <f t="shared" si="66"/>
        <v>3700</v>
      </c>
    </row>
    <row r="107" spans="1:41" ht="45" x14ac:dyDescent="0.25">
      <c r="A107" s="37" t="s">
        <v>251</v>
      </c>
      <c r="B107" s="51" t="s">
        <v>252</v>
      </c>
      <c r="C107" s="39">
        <v>8014510</v>
      </c>
      <c r="D107" s="40" t="s">
        <v>84</v>
      </c>
      <c r="E107" s="110"/>
      <c r="F107" s="110"/>
      <c r="G107" s="40" t="s">
        <v>85</v>
      </c>
      <c r="H107" s="40" t="s">
        <v>253</v>
      </c>
      <c r="I107" s="42">
        <v>25000</v>
      </c>
      <c r="J107" s="42">
        <v>17000</v>
      </c>
      <c r="K107" s="42">
        <f t="shared" si="67"/>
        <v>3844</v>
      </c>
      <c r="L107" s="42">
        <v>3844</v>
      </c>
      <c r="M107" s="42">
        <v>344</v>
      </c>
      <c r="N107" s="42">
        <v>344</v>
      </c>
      <c r="O107" s="42">
        <f t="shared" si="61"/>
        <v>2306.4</v>
      </c>
      <c r="P107" s="42">
        <f t="shared" si="64"/>
        <v>2306.4</v>
      </c>
      <c r="Q107" s="42">
        <v>3844</v>
      </c>
      <c r="R107" s="42">
        <v>3844</v>
      </c>
      <c r="S107" s="42">
        <f t="shared" si="63"/>
        <v>3844</v>
      </c>
      <c r="T107" s="42">
        <f t="shared" si="68"/>
        <v>3844</v>
      </c>
      <c r="U107" s="111"/>
      <c r="V107" s="42">
        <v>17000</v>
      </c>
      <c r="W107" s="112"/>
      <c r="X107" s="111"/>
      <c r="Y107" s="111"/>
      <c r="Z107" s="111"/>
      <c r="AA107" s="42">
        <f t="shared" si="69"/>
        <v>3844</v>
      </c>
      <c r="AB107" s="113"/>
      <c r="AC107" s="111"/>
      <c r="AD107" s="111"/>
      <c r="AE107" s="42">
        <f t="shared" si="53"/>
        <v>13156</v>
      </c>
      <c r="AF107" s="42">
        <f t="shared" si="50"/>
        <v>13156</v>
      </c>
      <c r="AG107" s="111"/>
      <c r="AH107" s="111"/>
      <c r="AI107" s="42">
        <f t="shared" si="35"/>
        <v>6000</v>
      </c>
      <c r="AJ107" s="42">
        <v>6000</v>
      </c>
      <c r="AK107" s="42" t="s">
        <v>254</v>
      </c>
      <c r="AL107" s="42"/>
      <c r="AM107" s="42"/>
      <c r="AN107" s="28" t="s">
        <v>44</v>
      </c>
      <c r="AO107" s="20">
        <f t="shared" si="66"/>
        <v>6400</v>
      </c>
    </row>
    <row r="108" spans="1:41" ht="45" x14ac:dyDescent="0.25">
      <c r="A108" s="37" t="s">
        <v>255</v>
      </c>
      <c r="B108" s="51" t="s">
        <v>256</v>
      </c>
      <c r="C108" s="39">
        <v>8014109</v>
      </c>
      <c r="D108" s="40" t="s">
        <v>84</v>
      </c>
      <c r="E108" s="110"/>
      <c r="F108" s="110"/>
      <c r="G108" s="40" t="s">
        <v>85</v>
      </c>
      <c r="H108" s="40" t="s">
        <v>257</v>
      </c>
      <c r="I108" s="42">
        <v>30000</v>
      </c>
      <c r="J108" s="42">
        <v>30000</v>
      </c>
      <c r="K108" s="42">
        <f t="shared" si="67"/>
        <v>6850</v>
      </c>
      <c r="L108" s="42">
        <v>6850</v>
      </c>
      <c r="M108" s="42"/>
      <c r="N108" s="42"/>
      <c r="O108" s="42">
        <f t="shared" si="61"/>
        <v>4110</v>
      </c>
      <c r="P108" s="42">
        <f t="shared" si="64"/>
        <v>4110</v>
      </c>
      <c r="Q108" s="42">
        <v>6850</v>
      </c>
      <c r="R108" s="42">
        <v>6850</v>
      </c>
      <c r="S108" s="42">
        <f t="shared" si="63"/>
        <v>6850</v>
      </c>
      <c r="T108" s="42">
        <f t="shared" si="68"/>
        <v>6850</v>
      </c>
      <c r="U108" s="111"/>
      <c r="V108" s="42">
        <v>30000</v>
      </c>
      <c r="W108" s="112"/>
      <c r="X108" s="111"/>
      <c r="Y108" s="111"/>
      <c r="Z108" s="111"/>
      <c r="AA108" s="42">
        <f t="shared" si="69"/>
        <v>6850</v>
      </c>
      <c r="AB108" s="113"/>
      <c r="AC108" s="111"/>
      <c r="AD108" s="111"/>
      <c r="AE108" s="42">
        <f t="shared" si="53"/>
        <v>23150</v>
      </c>
      <c r="AF108" s="42">
        <f t="shared" si="50"/>
        <v>23150</v>
      </c>
      <c r="AG108" s="111"/>
      <c r="AH108" s="111"/>
      <c r="AI108" s="42">
        <f t="shared" si="35"/>
        <v>10600</v>
      </c>
      <c r="AJ108" s="42">
        <v>10600</v>
      </c>
      <c r="AK108" s="42"/>
      <c r="AL108" s="42"/>
      <c r="AM108" s="42"/>
      <c r="AN108" s="28" t="s">
        <v>44</v>
      </c>
      <c r="AO108" s="20">
        <f>ROUND(V108*0.6-AA108,-2)</f>
        <v>11200</v>
      </c>
    </row>
    <row r="109" spans="1:41" ht="28.5" customHeight="1" x14ac:dyDescent="0.25">
      <c r="A109" s="106"/>
      <c r="B109" s="106" t="s">
        <v>258</v>
      </c>
      <c r="C109" s="39"/>
      <c r="D109" s="107"/>
      <c r="E109" s="110"/>
      <c r="F109" s="110"/>
      <c r="G109" s="39"/>
      <c r="H109" s="39"/>
      <c r="I109" s="27">
        <f t="shared" ref="I109:AM109" si="70">SUM(I110:I112)</f>
        <v>38000</v>
      </c>
      <c r="J109" s="27">
        <f t="shared" si="70"/>
        <v>24000</v>
      </c>
      <c r="K109" s="27">
        <f t="shared" si="70"/>
        <v>8400</v>
      </c>
      <c r="L109" s="27">
        <f t="shared" si="70"/>
        <v>8400</v>
      </c>
      <c r="M109" s="27">
        <f t="shared" si="70"/>
        <v>6400</v>
      </c>
      <c r="N109" s="27">
        <f t="shared" si="70"/>
        <v>6400</v>
      </c>
      <c r="O109" s="27">
        <f t="shared" si="70"/>
        <v>6400</v>
      </c>
      <c r="P109" s="27">
        <f t="shared" si="70"/>
        <v>6400</v>
      </c>
      <c r="Q109" s="27">
        <f t="shared" si="70"/>
        <v>6400</v>
      </c>
      <c r="R109" s="27">
        <f t="shared" si="70"/>
        <v>6400</v>
      </c>
      <c r="S109" s="27">
        <f t="shared" si="70"/>
        <v>13900</v>
      </c>
      <c r="T109" s="27">
        <f t="shared" si="70"/>
        <v>13900</v>
      </c>
      <c r="U109" s="27">
        <f t="shared" si="70"/>
        <v>0</v>
      </c>
      <c r="V109" s="27">
        <f t="shared" si="70"/>
        <v>24000</v>
      </c>
      <c r="W109" s="27">
        <f t="shared" si="70"/>
        <v>0</v>
      </c>
      <c r="X109" s="27">
        <f t="shared" si="70"/>
        <v>0</v>
      </c>
      <c r="Y109" s="27">
        <f t="shared" si="70"/>
        <v>0</v>
      </c>
      <c r="Z109" s="27">
        <f t="shared" si="70"/>
        <v>0</v>
      </c>
      <c r="AA109" s="27">
        <f t="shared" si="70"/>
        <v>13900</v>
      </c>
      <c r="AB109" s="27">
        <f t="shared" si="70"/>
        <v>0</v>
      </c>
      <c r="AC109" s="27">
        <f t="shared" si="70"/>
        <v>0</v>
      </c>
      <c r="AD109" s="27">
        <f t="shared" si="70"/>
        <v>0</v>
      </c>
      <c r="AE109" s="27">
        <f t="shared" si="70"/>
        <v>10100</v>
      </c>
      <c r="AF109" s="27">
        <f t="shared" si="70"/>
        <v>10100</v>
      </c>
      <c r="AG109" s="27">
        <f t="shared" si="70"/>
        <v>0</v>
      </c>
      <c r="AH109" s="27">
        <f t="shared" si="70"/>
        <v>0</v>
      </c>
      <c r="AI109" s="27">
        <f t="shared" si="70"/>
        <v>10100</v>
      </c>
      <c r="AJ109" s="27">
        <f t="shared" si="70"/>
        <v>10100</v>
      </c>
      <c r="AK109" s="27">
        <f t="shared" si="70"/>
        <v>0</v>
      </c>
      <c r="AL109" s="27">
        <f t="shared" si="70"/>
        <v>0</v>
      </c>
      <c r="AM109" s="27">
        <f t="shared" si="70"/>
        <v>0</v>
      </c>
      <c r="AN109" s="28"/>
      <c r="AO109" s="20">
        <f t="shared" ref="AO109:AO153" si="71">ROUND(V109*0.9-AA109,-2)</f>
        <v>7700</v>
      </c>
    </row>
    <row r="110" spans="1:41" ht="45" x14ac:dyDescent="0.25">
      <c r="A110" s="46">
        <v>1</v>
      </c>
      <c r="B110" s="114" t="s">
        <v>259</v>
      </c>
      <c r="C110" s="40">
        <v>7953779</v>
      </c>
      <c r="D110" s="40" t="s">
        <v>137</v>
      </c>
      <c r="E110" s="110"/>
      <c r="F110" s="110"/>
      <c r="G110" s="40" t="s">
        <v>138</v>
      </c>
      <c r="H110" s="56" t="s">
        <v>260</v>
      </c>
      <c r="I110" s="42">
        <v>5000</v>
      </c>
      <c r="J110" s="42">
        <v>4000</v>
      </c>
      <c r="K110" s="42">
        <f t="shared" si="52"/>
        <v>500</v>
      </c>
      <c r="L110" s="42">
        <v>500</v>
      </c>
      <c r="M110" s="42">
        <f>N110</f>
        <v>500</v>
      </c>
      <c r="N110" s="42">
        <v>500</v>
      </c>
      <c r="O110" s="42">
        <f>P110</f>
        <v>500</v>
      </c>
      <c r="P110" s="42">
        <v>500</v>
      </c>
      <c r="Q110" s="42">
        <f>R110</f>
        <v>500</v>
      </c>
      <c r="R110" s="42">
        <v>500</v>
      </c>
      <c r="S110" s="42">
        <f>T110</f>
        <v>2000</v>
      </c>
      <c r="T110" s="42">
        <v>2000</v>
      </c>
      <c r="U110" s="111"/>
      <c r="V110" s="42">
        <v>4000</v>
      </c>
      <c r="W110" s="112"/>
      <c r="X110" s="111"/>
      <c r="Y110" s="111"/>
      <c r="Z110" s="111"/>
      <c r="AA110" s="42">
        <v>2000</v>
      </c>
      <c r="AB110" s="113"/>
      <c r="AC110" s="111"/>
      <c r="AD110" s="111"/>
      <c r="AE110" s="42">
        <f t="shared" si="53"/>
        <v>2000</v>
      </c>
      <c r="AF110" s="42">
        <f t="shared" si="50"/>
        <v>2000</v>
      </c>
      <c r="AG110" s="111"/>
      <c r="AH110" s="111"/>
      <c r="AI110" s="42">
        <f t="shared" si="35"/>
        <v>2000</v>
      </c>
      <c r="AJ110" s="42">
        <v>2000</v>
      </c>
      <c r="AK110" s="42"/>
      <c r="AL110" s="42"/>
      <c r="AM110" s="42"/>
      <c r="AN110" s="28" t="s">
        <v>44</v>
      </c>
      <c r="AO110" s="20">
        <f t="shared" si="71"/>
        <v>1600</v>
      </c>
    </row>
    <row r="111" spans="1:41" ht="45" x14ac:dyDescent="0.25">
      <c r="A111" s="46">
        <v>2</v>
      </c>
      <c r="B111" s="114" t="s">
        <v>261</v>
      </c>
      <c r="C111" s="40">
        <v>7953780</v>
      </c>
      <c r="D111" s="40" t="s">
        <v>137</v>
      </c>
      <c r="E111" s="110"/>
      <c r="F111" s="110"/>
      <c r="G111" s="40" t="s">
        <v>138</v>
      </c>
      <c r="H111" s="56" t="s">
        <v>262</v>
      </c>
      <c r="I111" s="42">
        <v>10000</v>
      </c>
      <c r="J111" s="42">
        <v>7000</v>
      </c>
      <c r="K111" s="42">
        <f t="shared" si="52"/>
        <v>2000</v>
      </c>
      <c r="L111" s="42">
        <v>2000</v>
      </c>
      <c r="M111" s="42">
        <f>N111</f>
        <v>2000</v>
      </c>
      <c r="N111" s="42">
        <v>2000</v>
      </c>
      <c r="O111" s="42">
        <f>P111</f>
        <v>2000</v>
      </c>
      <c r="P111" s="42">
        <v>2000</v>
      </c>
      <c r="Q111" s="42">
        <f>R111</f>
        <v>2000</v>
      </c>
      <c r="R111" s="42">
        <v>2000</v>
      </c>
      <c r="S111" s="42">
        <f>T111</f>
        <v>3400</v>
      </c>
      <c r="T111" s="42">
        <v>3400</v>
      </c>
      <c r="U111" s="111"/>
      <c r="V111" s="42">
        <v>7000</v>
      </c>
      <c r="W111" s="112"/>
      <c r="X111" s="111"/>
      <c r="Y111" s="111"/>
      <c r="Z111" s="111"/>
      <c r="AA111" s="42">
        <v>3400</v>
      </c>
      <c r="AB111" s="113"/>
      <c r="AC111" s="111"/>
      <c r="AD111" s="111"/>
      <c r="AE111" s="42">
        <f t="shared" si="53"/>
        <v>3600</v>
      </c>
      <c r="AF111" s="42">
        <f t="shared" si="50"/>
        <v>3600</v>
      </c>
      <c r="AG111" s="111"/>
      <c r="AH111" s="111"/>
      <c r="AI111" s="42">
        <f t="shared" si="35"/>
        <v>3600</v>
      </c>
      <c r="AJ111" s="42">
        <v>3600</v>
      </c>
      <c r="AK111" s="42"/>
      <c r="AL111" s="42"/>
      <c r="AM111" s="42"/>
      <c r="AN111" s="28" t="s">
        <v>44</v>
      </c>
      <c r="AO111" s="20">
        <f t="shared" si="71"/>
        <v>2900</v>
      </c>
    </row>
    <row r="112" spans="1:41" ht="51" x14ac:dyDescent="0.25">
      <c r="A112" s="46">
        <v>3</v>
      </c>
      <c r="B112" s="114" t="s">
        <v>263</v>
      </c>
      <c r="C112" s="40">
        <v>7953167</v>
      </c>
      <c r="D112" s="40" t="s">
        <v>137</v>
      </c>
      <c r="E112" s="110"/>
      <c r="F112" s="110"/>
      <c r="G112" s="40" t="s">
        <v>138</v>
      </c>
      <c r="H112" s="56" t="s">
        <v>264</v>
      </c>
      <c r="I112" s="42">
        <v>23000</v>
      </c>
      <c r="J112" s="42">
        <v>13000</v>
      </c>
      <c r="K112" s="42">
        <f t="shared" si="52"/>
        <v>5900</v>
      </c>
      <c r="L112" s="42">
        <v>5900</v>
      </c>
      <c r="M112" s="42">
        <f>N112</f>
        <v>3900</v>
      </c>
      <c r="N112" s="42">
        <v>3900</v>
      </c>
      <c r="O112" s="42">
        <f>P112</f>
        <v>3900</v>
      </c>
      <c r="P112" s="42">
        <v>3900</v>
      </c>
      <c r="Q112" s="42">
        <f>R112</f>
        <v>3900</v>
      </c>
      <c r="R112" s="42">
        <v>3900</v>
      </c>
      <c r="S112" s="42">
        <f>6500+2000</f>
        <v>8500</v>
      </c>
      <c r="T112" s="42">
        <f>6500+2000</f>
        <v>8500</v>
      </c>
      <c r="U112" s="111"/>
      <c r="V112" s="42">
        <v>13000</v>
      </c>
      <c r="W112" s="112"/>
      <c r="X112" s="111"/>
      <c r="Y112" s="111"/>
      <c r="Z112" s="111"/>
      <c r="AA112" s="42">
        <f>6500+2000</f>
        <v>8500</v>
      </c>
      <c r="AB112" s="113"/>
      <c r="AC112" s="111"/>
      <c r="AD112" s="111"/>
      <c r="AE112" s="42">
        <f t="shared" si="53"/>
        <v>4500</v>
      </c>
      <c r="AF112" s="42">
        <f t="shared" si="50"/>
        <v>4500</v>
      </c>
      <c r="AG112" s="111"/>
      <c r="AH112" s="111"/>
      <c r="AI112" s="42">
        <f t="shared" si="35"/>
        <v>4500</v>
      </c>
      <c r="AJ112" s="42">
        <v>4500</v>
      </c>
      <c r="AK112" s="42"/>
      <c r="AL112" s="42"/>
      <c r="AM112" s="42"/>
      <c r="AN112" s="28" t="s">
        <v>44</v>
      </c>
      <c r="AO112" s="20">
        <f t="shared" si="71"/>
        <v>3200</v>
      </c>
    </row>
    <row r="113" spans="1:41" ht="22.5" customHeight="1" x14ac:dyDescent="0.25">
      <c r="A113" s="106"/>
      <c r="B113" s="106" t="s">
        <v>265</v>
      </c>
      <c r="C113" s="39"/>
      <c r="D113" s="107"/>
      <c r="E113" s="110"/>
      <c r="F113" s="110"/>
      <c r="G113" s="39"/>
      <c r="H113" s="39"/>
      <c r="I113" s="27">
        <f>SUM(I114:I116)</f>
        <v>39500</v>
      </c>
      <c r="J113" s="27">
        <f t="shared" ref="J113:AM113" si="72">SUM(J114:J116)</f>
        <v>36500</v>
      </c>
      <c r="K113" s="27">
        <f t="shared" si="72"/>
        <v>13075.553</v>
      </c>
      <c r="L113" s="27">
        <f t="shared" si="72"/>
        <v>13075.553</v>
      </c>
      <c r="M113" s="27">
        <f t="shared" si="72"/>
        <v>6079</v>
      </c>
      <c r="N113" s="27">
        <f t="shared" si="72"/>
        <v>6079</v>
      </c>
      <c r="O113" s="27">
        <f t="shared" si="72"/>
        <v>6800</v>
      </c>
      <c r="P113" s="27">
        <f t="shared" si="72"/>
        <v>6800</v>
      </c>
      <c r="Q113" s="27">
        <f t="shared" si="72"/>
        <v>6800</v>
      </c>
      <c r="R113" s="27">
        <f t="shared" si="72"/>
        <v>6800</v>
      </c>
      <c r="S113" s="27">
        <f t="shared" si="72"/>
        <v>27506.553</v>
      </c>
      <c r="T113" s="27">
        <f t="shared" si="72"/>
        <v>27506.553</v>
      </c>
      <c r="U113" s="27">
        <f t="shared" si="72"/>
        <v>0</v>
      </c>
      <c r="V113" s="27">
        <f t="shared" si="72"/>
        <v>36500</v>
      </c>
      <c r="W113" s="27">
        <f t="shared" si="72"/>
        <v>0</v>
      </c>
      <c r="X113" s="27">
        <f t="shared" si="72"/>
        <v>0</v>
      </c>
      <c r="Y113" s="27">
        <f t="shared" si="72"/>
        <v>0</v>
      </c>
      <c r="Z113" s="27">
        <f t="shared" si="72"/>
        <v>0</v>
      </c>
      <c r="AA113" s="27">
        <f t="shared" si="72"/>
        <v>27506.553</v>
      </c>
      <c r="AB113" s="27">
        <f t="shared" si="72"/>
        <v>0</v>
      </c>
      <c r="AC113" s="27">
        <f t="shared" si="72"/>
        <v>0</v>
      </c>
      <c r="AD113" s="27">
        <f t="shared" si="72"/>
        <v>0</v>
      </c>
      <c r="AE113" s="27">
        <f t="shared" si="72"/>
        <v>8993.4470000000001</v>
      </c>
      <c r="AF113" s="27">
        <f t="shared" si="72"/>
        <v>8993.4470000000001</v>
      </c>
      <c r="AG113" s="27">
        <f t="shared" si="72"/>
        <v>0</v>
      </c>
      <c r="AH113" s="27">
        <f t="shared" si="72"/>
        <v>0</v>
      </c>
      <c r="AI113" s="27">
        <f t="shared" si="72"/>
        <v>8000</v>
      </c>
      <c r="AJ113" s="27">
        <f t="shared" si="72"/>
        <v>8000</v>
      </c>
      <c r="AK113" s="27">
        <f t="shared" si="72"/>
        <v>0</v>
      </c>
      <c r="AL113" s="27">
        <f t="shared" si="72"/>
        <v>0</v>
      </c>
      <c r="AM113" s="27">
        <f t="shared" si="72"/>
        <v>0</v>
      </c>
      <c r="AN113" s="28"/>
      <c r="AO113" s="20">
        <f t="shared" si="71"/>
        <v>5300</v>
      </c>
    </row>
    <row r="114" spans="1:41" ht="45" x14ac:dyDescent="0.25">
      <c r="A114" s="46">
        <v>1</v>
      </c>
      <c r="B114" s="82" t="s">
        <v>266</v>
      </c>
      <c r="C114" s="40">
        <v>7952853</v>
      </c>
      <c r="D114" s="40" t="s">
        <v>119</v>
      </c>
      <c r="E114" s="110"/>
      <c r="F114" s="110"/>
      <c r="G114" s="40" t="s">
        <v>120</v>
      </c>
      <c r="H114" s="39" t="s">
        <v>267</v>
      </c>
      <c r="I114" s="42">
        <v>13500</v>
      </c>
      <c r="J114" s="42">
        <v>12500</v>
      </c>
      <c r="K114" s="42">
        <f t="shared" si="52"/>
        <v>4975.5529999999999</v>
      </c>
      <c r="L114" s="42">
        <v>4975.5529999999999</v>
      </c>
      <c r="M114" s="42">
        <f>N114</f>
        <v>1500</v>
      </c>
      <c r="N114" s="42">
        <v>1500</v>
      </c>
      <c r="O114" s="42">
        <f>P114</f>
        <v>1500</v>
      </c>
      <c r="P114" s="42">
        <v>1500</v>
      </c>
      <c r="Q114" s="42">
        <f>R114</f>
        <v>1500</v>
      </c>
      <c r="R114" s="42">
        <v>1500</v>
      </c>
      <c r="S114" s="42">
        <f>T114</f>
        <v>11302.553</v>
      </c>
      <c r="T114" s="42">
        <v>11302.553</v>
      </c>
      <c r="U114" s="111"/>
      <c r="V114" s="42">
        <v>12500</v>
      </c>
      <c r="W114" s="112"/>
      <c r="X114" s="111"/>
      <c r="Y114" s="111"/>
      <c r="Z114" s="111"/>
      <c r="AA114" s="42">
        <v>11302.553</v>
      </c>
      <c r="AB114" s="113"/>
      <c r="AC114" s="111"/>
      <c r="AD114" s="111"/>
      <c r="AE114" s="42">
        <f t="shared" si="53"/>
        <v>1197.4470000000001</v>
      </c>
      <c r="AF114" s="42">
        <f t="shared" si="50"/>
        <v>1197.4470000000001</v>
      </c>
      <c r="AG114" s="111"/>
      <c r="AH114" s="111"/>
      <c r="AI114" s="42">
        <f t="shared" si="35"/>
        <v>1100</v>
      </c>
      <c r="AJ114" s="42">
        <v>1100</v>
      </c>
      <c r="AK114" s="42"/>
      <c r="AL114" s="42"/>
      <c r="AM114" s="42"/>
      <c r="AN114" s="28" t="s">
        <v>44</v>
      </c>
      <c r="AO114" s="20">
        <f t="shared" si="71"/>
        <v>-100</v>
      </c>
    </row>
    <row r="115" spans="1:41" ht="45" x14ac:dyDescent="0.25">
      <c r="A115" s="46">
        <v>2</v>
      </c>
      <c r="B115" s="82" t="s">
        <v>268</v>
      </c>
      <c r="C115" s="40">
        <v>7952854</v>
      </c>
      <c r="D115" s="40" t="s">
        <v>119</v>
      </c>
      <c r="E115" s="110"/>
      <c r="F115" s="110"/>
      <c r="G115" s="40" t="s">
        <v>120</v>
      </c>
      <c r="H115" s="56" t="s">
        <v>269</v>
      </c>
      <c r="I115" s="102">
        <v>13000</v>
      </c>
      <c r="J115" s="57">
        <v>12000</v>
      </c>
      <c r="K115" s="42">
        <f t="shared" si="52"/>
        <v>3800</v>
      </c>
      <c r="L115" s="42">
        <v>3800</v>
      </c>
      <c r="M115" s="42">
        <f>N115</f>
        <v>3079</v>
      </c>
      <c r="N115" s="42">
        <v>3079</v>
      </c>
      <c r="O115" s="42">
        <f>P115</f>
        <v>3800</v>
      </c>
      <c r="P115" s="42">
        <v>3800</v>
      </c>
      <c r="Q115" s="42">
        <f>R115</f>
        <v>3800</v>
      </c>
      <c r="R115" s="42">
        <v>3800</v>
      </c>
      <c r="S115" s="42">
        <f>T115</f>
        <v>6000</v>
      </c>
      <c r="T115" s="42">
        <f>AA115</f>
        <v>6000</v>
      </c>
      <c r="U115" s="111"/>
      <c r="V115" s="57">
        <v>12000</v>
      </c>
      <c r="W115" s="112"/>
      <c r="X115" s="111"/>
      <c r="Y115" s="111"/>
      <c r="Z115" s="111"/>
      <c r="AA115" s="42">
        <v>6000</v>
      </c>
      <c r="AB115" s="113"/>
      <c r="AC115" s="111"/>
      <c r="AD115" s="111"/>
      <c r="AE115" s="42">
        <f t="shared" si="53"/>
        <v>6000</v>
      </c>
      <c r="AF115" s="42">
        <f t="shared" si="50"/>
        <v>6000</v>
      </c>
      <c r="AG115" s="111"/>
      <c r="AH115" s="111"/>
      <c r="AI115" s="42">
        <f t="shared" si="35"/>
        <v>5400</v>
      </c>
      <c r="AJ115" s="42">
        <v>5400</v>
      </c>
      <c r="AK115" s="42"/>
      <c r="AL115" s="42"/>
      <c r="AM115" s="42"/>
      <c r="AN115" s="28" t="s">
        <v>44</v>
      </c>
      <c r="AO115" s="20">
        <f t="shared" si="71"/>
        <v>4800</v>
      </c>
    </row>
    <row r="116" spans="1:41" ht="45" x14ac:dyDescent="0.25">
      <c r="A116" s="46">
        <v>3</v>
      </c>
      <c r="B116" s="82" t="s">
        <v>270</v>
      </c>
      <c r="C116" s="40">
        <v>7952855</v>
      </c>
      <c r="D116" s="40" t="s">
        <v>119</v>
      </c>
      <c r="E116" s="110"/>
      <c r="F116" s="110"/>
      <c r="G116" s="40" t="s">
        <v>120</v>
      </c>
      <c r="H116" s="56" t="s">
        <v>271</v>
      </c>
      <c r="I116" s="102">
        <v>13000</v>
      </c>
      <c r="J116" s="57">
        <v>12000</v>
      </c>
      <c r="K116" s="42">
        <f t="shared" si="52"/>
        <v>4300</v>
      </c>
      <c r="L116" s="42">
        <f>1500+2800</f>
        <v>4300</v>
      </c>
      <c r="M116" s="42">
        <f>N116</f>
        <v>1500</v>
      </c>
      <c r="N116" s="42">
        <v>1500</v>
      </c>
      <c r="O116" s="42">
        <f>P116</f>
        <v>1500</v>
      </c>
      <c r="P116" s="42">
        <v>1500</v>
      </c>
      <c r="Q116" s="42">
        <f>R116</f>
        <v>1500</v>
      </c>
      <c r="R116" s="42">
        <v>1500</v>
      </c>
      <c r="S116" s="42">
        <f>T116</f>
        <v>10204</v>
      </c>
      <c r="T116" s="42">
        <f>7404+2800</f>
        <v>10204</v>
      </c>
      <c r="U116" s="111"/>
      <c r="V116" s="57">
        <v>12000</v>
      </c>
      <c r="W116" s="112"/>
      <c r="X116" s="111"/>
      <c r="Y116" s="111"/>
      <c r="Z116" s="111"/>
      <c r="AA116" s="42">
        <f>7404+2800</f>
        <v>10204</v>
      </c>
      <c r="AB116" s="113"/>
      <c r="AC116" s="111"/>
      <c r="AD116" s="111"/>
      <c r="AE116" s="42">
        <f t="shared" si="53"/>
        <v>1796</v>
      </c>
      <c r="AF116" s="42">
        <f t="shared" si="50"/>
        <v>1796</v>
      </c>
      <c r="AG116" s="111"/>
      <c r="AH116" s="111"/>
      <c r="AI116" s="42">
        <f t="shared" si="35"/>
        <v>1500</v>
      </c>
      <c r="AJ116" s="42">
        <v>1500</v>
      </c>
      <c r="AK116" s="42"/>
      <c r="AL116" s="42"/>
      <c r="AM116" s="42"/>
      <c r="AN116" s="28" t="s">
        <v>44</v>
      </c>
      <c r="AO116" s="20">
        <f>ROUND(V116*0.95-AA116,-2)</f>
        <v>1200</v>
      </c>
    </row>
    <row r="117" spans="1:41" ht="20.25" customHeight="1" x14ac:dyDescent="0.25">
      <c r="A117" s="106"/>
      <c r="B117" s="106" t="s">
        <v>272</v>
      </c>
      <c r="C117" s="39"/>
      <c r="D117" s="107"/>
      <c r="E117" s="110"/>
      <c r="F117" s="110"/>
      <c r="G117" s="39"/>
      <c r="H117" s="39"/>
      <c r="I117" s="27">
        <f>SUM(I118:I120)</f>
        <v>43000</v>
      </c>
      <c r="J117" s="27">
        <f t="shared" ref="J117:AM117" si="73">SUM(J118:J120)</f>
        <v>41000</v>
      </c>
      <c r="K117" s="27">
        <f t="shared" si="73"/>
        <v>12200</v>
      </c>
      <c r="L117" s="27">
        <f t="shared" si="73"/>
        <v>12200</v>
      </c>
      <c r="M117" s="27">
        <f t="shared" si="73"/>
        <v>10356</v>
      </c>
      <c r="N117" s="27">
        <f t="shared" si="73"/>
        <v>10356</v>
      </c>
      <c r="O117" s="27">
        <f t="shared" si="73"/>
        <v>12200</v>
      </c>
      <c r="P117" s="27">
        <f t="shared" si="73"/>
        <v>12200</v>
      </c>
      <c r="Q117" s="27">
        <f t="shared" si="73"/>
        <v>12200</v>
      </c>
      <c r="R117" s="27">
        <f t="shared" si="73"/>
        <v>12200</v>
      </c>
      <c r="S117" s="27">
        <f t="shared" si="73"/>
        <v>20222</v>
      </c>
      <c r="T117" s="27">
        <f t="shared" si="73"/>
        <v>20222</v>
      </c>
      <c r="U117" s="27">
        <f t="shared" si="73"/>
        <v>0</v>
      </c>
      <c r="V117" s="27">
        <f t="shared" si="73"/>
        <v>41000</v>
      </c>
      <c r="W117" s="27">
        <f t="shared" si="73"/>
        <v>0</v>
      </c>
      <c r="X117" s="27">
        <f t="shared" si="73"/>
        <v>0</v>
      </c>
      <c r="Y117" s="27">
        <f t="shared" si="73"/>
        <v>0</v>
      </c>
      <c r="Z117" s="27">
        <f t="shared" si="73"/>
        <v>0</v>
      </c>
      <c r="AA117" s="27">
        <f t="shared" si="73"/>
        <v>20222</v>
      </c>
      <c r="AB117" s="27">
        <f t="shared" si="73"/>
        <v>0</v>
      </c>
      <c r="AC117" s="27">
        <f t="shared" si="73"/>
        <v>0</v>
      </c>
      <c r="AD117" s="27">
        <f t="shared" si="73"/>
        <v>0</v>
      </c>
      <c r="AE117" s="27">
        <f t="shared" si="73"/>
        <v>20778</v>
      </c>
      <c r="AF117" s="27">
        <f t="shared" si="73"/>
        <v>20778</v>
      </c>
      <c r="AG117" s="27">
        <f t="shared" si="73"/>
        <v>0</v>
      </c>
      <c r="AH117" s="27">
        <f t="shared" si="73"/>
        <v>0</v>
      </c>
      <c r="AI117" s="27">
        <f t="shared" si="73"/>
        <v>18800</v>
      </c>
      <c r="AJ117" s="27">
        <f t="shared" si="73"/>
        <v>18800</v>
      </c>
      <c r="AK117" s="27">
        <f t="shared" si="73"/>
        <v>0</v>
      </c>
      <c r="AL117" s="27">
        <f t="shared" si="73"/>
        <v>0</v>
      </c>
      <c r="AM117" s="27">
        <f t="shared" si="73"/>
        <v>0</v>
      </c>
      <c r="AN117" s="28"/>
      <c r="AO117" s="20">
        <f t="shared" si="71"/>
        <v>16700</v>
      </c>
    </row>
    <row r="118" spans="1:41" ht="45" x14ac:dyDescent="0.25">
      <c r="A118" s="37" t="s">
        <v>38</v>
      </c>
      <c r="B118" s="82" t="s">
        <v>273</v>
      </c>
      <c r="C118" s="40">
        <v>7954115</v>
      </c>
      <c r="D118" s="40" t="s">
        <v>274</v>
      </c>
      <c r="E118" s="25"/>
      <c r="F118" s="25"/>
      <c r="G118" s="40" t="s">
        <v>275</v>
      </c>
      <c r="H118" s="56" t="s">
        <v>276</v>
      </c>
      <c r="I118" s="42">
        <v>15000</v>
      </c>
      <c r="J118" s="42">
        <v>14000</v>
      </c>
      <c r="K118" s="42">
        <f t="shared" si="52"/>
        <v>4500</v>
      </c>
      <c r="L118" s="42">
        <v>4500</v>
      </c>
      <c r="M118" s="42">
        <f>N118</f>
        <v>4500</v>
      </c>
      <c r="N118" s="42">
        <v>4500</v>
      </c>
      <c r="O118" s="42">
        <f>P118</f>
        <v>4500</v>
      </c>
      <c r="P118" s="42">
        <v>4500</v>
      </c>
      <c r="Q118" s="42">
        <f>R118</f>
        <v>4500</v>
      </c>
      <c r="R118" s="42">
        <v>4500</v>
      </c>
      <c r="S118" s="42">
        <v>7000</v>
      </c>
      <c r="T118" s="42">
        <v>7000</v>
      </c>
      <c r="U118" s="25"/>
      <c r="V118" s="42">
        <v>14000</v>
      </c>
      <c r="W118" s="108"/>
      <c r="X118" s="25"/>
      <c r="Y118" s="25"/>
      <c r="Z118" s="25"/>
      <c r="AA118" s="42">
        <v>7000</v>
      </c>
      <c r="AB118" s="83"/>
      <c r="AC118" s="25"/>
      <c r="AD118" s="25"/>
      <c r="AE118" s="42">
        <f t="shared" si="53"/>
        <v>7000</v>
      </c>
      <c r="AF118" s="42">
        <f t="shared" si="50"/>
        <v>7000</v>
      </c>
      <c r="AG118" s="25"/>
      <c r="AH118" s="25"/>
      <c r="AI118" s="42">
        <f t="shared" si="35"/>
        <v>6300</v>
      </c>
      <c r="AJ118" s="42">
        <v>6300</v>
      </c>
      <c r="AK118" s="42"/>
      <c r="AL118" s="42"/>
      <c r="AM118" s="42"/>
      <c r="AN118" s="28" t="s">
        <v>44</v>
      </c>
      <c r="AO118" s="20">
        <f t="shared" ref="AO118:AO119" si="74">ROUND(V118*0.95-AA118,-2)</f>
        <v>6300</v>
      </c>
    </row>
    <row r="119" spans="1:41" ht="45" x14ac:dyDescent="0.25">
      <c r="A119" s="37">
        <v>2</v>
      </c>
      <c r="B119" s="82" t="s">
        <v>277</v>
      </c>
      <c r="C119" s="40">
        <v>7955507</v>
      </c>
      <c r="D119" s="40" t="s">
        <v>274</v>
      </c>
      <c r="E119" s="25"/>
      <c r="F119" s="25"/>
      <c r="G119" s="40" t="s">
        <v>275</v>
      </c>
      <c r="H119" s="40" t="s">
        <v>278</v>
      </c>
      <c r="I119" s="42">
        <v>19000</v>
      </c>
      <c r="J119" s="42">
        <v>18000</v>
      </c>
      <c r="K119" s="42">
        <f t="shared" si="52"/>
        <v>5000</v>
      </c>
      <c r="L119" s="42">
        <v>5000</v>
      </c>
      <c r="M119" s="42">
        <f>N119</f>
        <v>3156</v>
      </c>
      <c r="N119" s="42">
        <v>3156</v>
      </c>
      <c r="O119" s="42">
        <f>P119</f>
        <v>5000</v>
      </c>
      <c r="P119" s="42">
        <v>5000</v>
      </c>
      <c r="Q119" s="42">
        <f>R119</f>
        <v>5000</v>
      </c>
      <c r="R119" s="42">
        <v>5000</v>
      </c>
      <c r="S119" s="42">
        <v>8722</v>
      </c>
      <c r="T119" s="42">
        <v>8722</v>
      </c>
      <c r="U119" s="25"/>
      <c r="V119" s="42">
        <v>18000</v>
      </c>
      <c r="W119" s="108"/>
      <c r="X119" s="25"/>
      <c r="Y119" s="25"/>
      <c r="Z119" s="25"/>
      <c r="AA119" s="42">
        <v>8722</v>
      </c>
      <c r="AB119" s="83"/>
      <c r="AC119" s="25"/>
      <c r="AD119" s="25"/>
      <c r="AE119" s="42">
        <f t="shared" si="53"/>
        <v>9278</v>
      </c>
      <c r="AF119" s="42">
        <f t="shared" si="50"/>
        <v>9278</v>
      </c>
      <c r="AG119" s="25"/>
      <c r="AH119" s="25"/>
      <c r="AI119" s="42">
        <f t="shared" si="35"/>
        <v>8400</v>
      </c>
      <c r="AJ119" s="42">
        <v>8400</v>
      </c>
      <c r="AK119" s="42"/>
      <c r="AL119" s="42"/>
      <c r="AM119" s="42"/>
      <c r="AN119" s="28" t="s">
        <v>44</v>
      </c>
      <c r="AO119" s="20">
        <f t="shared" si="74"/>
        <v>8400</v>
      </c>
    </row>
    <row r="120" spans="1:41" ht="51" x14ac:dyDescent="0.25">
      <c r="A120" s="115">
        <v>3</v>
      </c>
      <c r="B120" s="82" t="s">
        <v>279</v>
      </c>
      <c r="C120" s="40">
        <v>7954114</v>
      </c>
      <c r="D120" s="40" t="s">
        <v>274</v>
      </c>
      <c r="E120" s="25"/>
      <c r="F120" s="25"/>
      <c r="G120" s="40" t="s">
        <v>275</v>
      </c>
      <c r="H120" s="56" t="s">
        <v>280</v>
      </c>
      <c r="I120" s="42">
        <v>9000</v>
      </c>
      <c r="J120" s="42">
        <v>9000</v>
      </c>
      <c r="K120" s="42">
        <f t="shared" si="52"/>
        <v>2700</v>
      </c>
      <c r="L120" s="42">
        <v>2700</v>
      </c>
      <c r="M120" s="42">
        <f>N120</f>
        <v>2700</v>
      </c>
      <c r="N120" s="42">
        <v>2700</v>
      </c>
      <c r="O120" s="42">
        <f>P120</f>
        <v>2700</v>
      </c>
      <c r="P120" s="42">
        <v>2700</v>
      </c>
      <c r="Q120" s="42">
        <f>R120</f>
        <v>2700</v>
      </c>
      <c r="R120" s="42">
        <v>2700</v>
      </c>
      <c r="S120" s="42">
        <v>4500</v>
      </c>
      <c r="T120" s="42">
        <v>4500</v>
      </c>
      <c r="U120" s="25"/>
      <c r="V120" s="42">
        <v>9000</v>
      </c>
      <c r="W120" s="108"/>
      <c r="X120" s="25"/>
      <c r="Y120" s="25"/>
      <c r="Z120" s="25"/>
      <c r="AA120" s="42">
        <v>4500</v>
      </c>
      <c r="AB120" s="83"/>
      <c r="AC120" s="25"/>
      <c r="AD120" s="25"/>
      <c r="AE120" s="42">
        <f t="shared" si="53"/>
        <v>4500</v>
      </c>
      <c r="AF120" s="42">
        <f t="shared" si="50"/>
        <v>4500</v>
      </c>
      <c r="AG120" s="25"/>
      <c r="AH120" s="25"/>
      <c r="AI120" s="42">
        <f t="shared" si="35"/>
        <v>4100</v>
      </c>
      <c r="AJ120" s="42">
        <v>4100</v>
      </c>
      <c r="AK120" s="42"/>
      <c r="AL120" s="42"/>
      <c r="AM120" s="42"/>
      <c r="AN120" s="28" t="s">
        <v>44</v>
      </c>
      <c r="AO120" s="20">
        <f>ROUND(V120*0.95-AA120,-2)</f>
        <v>4100</v>
      </c>
    </row>
    <row r="121" spans="1:41" ht="28.5" customHeight="1" x14ac:dyDescent="0.25">
      <c r="A121" s="106"/>
      <c r="B121" s="106" t="s">
        <v>281</v>
      </c>
      <c r="C121" s="24"/>
      <c r="D121" s="107"/>
      <c r="E121" s="25"/>
      <c r="F121" s="25"/>
      <c r="G121" s="26"/>
      <c r="H121" s="26"/>
      <c r="I121" s="27">
        <f>SUM(I122:I125)</f>
        <v>45400</v>
      </c>
      <c r="J121" s="27">
        <f t="shared" ref="J121:AM121" si="75">SUM(J122:J125)</f>
        <v>41500</v>
      </c>
      <c r="K121" s="27">
        <f t="shared" si="75"/>
        <v>8900</v>
      </c>
      <c r="L121" s="27">
        <f t="shared" si="75"/>
        <v>8900</v>
      </c>
      <c r="M121" s="27">
        <f t="shared" si="75"/>
        <v>4255</v>
      </c>
      <c r="N121" s="27">
        <f t="shared" si="75"/>
        <v>4255</v>
      </c>
      <c r="O121" s="27">
        <f t="shared" si="75"/>
        <v>5100</v>
      </c>
      <c r="P121" s="27">
        <f t="shared" si="75"/>
        <v>5100</v>
      </c>
      <c r="Q121" s="27">
        <f t="shared" si="75"/>
        <v>7300</v>
      </c>
      <c r="R121" s="27">
        <f t="shared" si="75"/>
        <v>7300</v>
      </c>
      <c r="S121" s="27">
        <f t="shared" si="75"/>
        <v>25930</v>
      </c>
      <c r="T121" s="27">
        <f t="shared" si="75"/>
        <v>25930</v>
      </c>
      <c r="U121" s="27">
        <f t="shared" si="75"/>
        <v>0</v>
      </c>
      <c r="V121" s="27">
        <f t="shared" si="75"/>
        <v>41500</v>
      </c>
      <c r="W121" s="27">
        <f t="shared" si="75"/>
        <v>0</v>
      </c>
      <c r="X121" s="27">
        <f t="shared" si="75"/>
        <v>0</v>
      </c>
      <c r="Y121" s="27">
        <f t="shared" si="75"/>
        <v>0</v>
      </c>
      <c r="Z121" s="27">
        <f t="shared" si="75"/>
        <v>0</v>
      </c>
      <c r="AA121" s="27">
        <f t="shared" si="75"/>
        <v>25930</v>
      </c>
      <c r="AB121" s="27">
        <f t="shared" si="75"/>
        <v>0</v>
      </c>
      <c r="AC121" s="27">
        <f t="shared" si="75"/>
        <v>0</v>
      </c>
      <c r="AD121" s="27">
        <f t="shared" si="75"/>
        <v>0</v>
      </c>
      <c r="AE121" s="27">
        <f t="shared" si="75"/>
        <v>15570</v>
      </c>
      <c r="AF121" s="27">
        <f t="shared" si="75"/>
        <v>15570</v>
      </c>
      <c r="AG121" s="27">
        <f t="shared" si="75"/>
        <v>0</v>
      </c>
      <c r="AH121" s="27">
        <f t="shared" si="75"/>
        <v>0</v>
      </c>
      <c r="AI121" s="27">
        <f t="shared" si="75"/>
        <v>14070</v>
      </c>
      <c r="AJ121" s="27">
        <f t="shared" si="75"/>
        <v>14070</v>
      </c>
      <c r="AK121" s="27">
        <f t="shared" si="75"/>
        <v>0</v>
      </c>
      <c r="AL121" s="27">
        <f t="shared" si="75"/>
        <v>0</v>
      </c>
      <c r="AM121" s="27">
        <f t="shared" si="75"/>
        <v>0</v>
      </c>
      <c r="AN121" s="28"/>
      <c r="AO121" s="20">
        <f t="shared" si="71"/>
        <v>11400</v>
      </c>
    </row>
    <row r="122" spans="1:41" ht="33.75" x14ac:dyDescent="0.25">
      <c r="A122" s="46">
        <v>1</v>
      </c>
      <c r="B122" s="82" t="s">
        <v>282</v>
      </c>
      <c r="C122" s="40">
        <v>7952023</v>
      </c>
      <c r="D122" s="40" t="s">
        <v>95</v>
      </c>
      <c r="E122" s="25"/>
      <c r="F122" s="25"/>
      <c r="G122" s="39" t="s">
        <v>142</v>
      </c>
      <c r="H122" s="40" t="s">
        <v>283</v>
      </c>
      <c r="I122" s="42">
        <v>12000</v>
      </c>
      <c r="J122" s="42">
        <v>11000</v>
      </c>
      <c r="K122" s="42">
        <f t="shared" si="52"/>
        <v>2500</v>
      </c>
      <c r="L122" s="42">
        <f>900+1600</f>
        <v>2500</v>
      </c>
      <c r="M122" s="42">
        <v>900</v>
      </c>
      <c r="N122" s="42">
        <v>900</v>
      </c>
      <c r="O122" s="42">
        <v>900</v>
      </c>
      <c r="P122" s="42">
        <v>900</v>
      </c>
      <c r="Q122" s="42">
        <f>R122</f>
        <v>900</v>
      </c>
      <c r="R122" s="42">
        <v>900</v>
      </c>
      <c r="S122" s="42">
        <f>9030+1600</f>
        <v>10630</v>
      </c>
      <c r="T122" s="42">
        <f>9030+1600</f>
        <v>10630</v>
      </c>
      <c r="U122" s="25"/>
      <c r="V122" s="42">
        <v>11000</v>
      </c>
      <c r="W122" s="108"/>
      <c r="X122" s="25"/>
      <c r="Y122" s="25"/>
      <c r="Z122" s="25"/>
      <c r="AA122" s="42">
        <f>9030+1600</f>
        <v>10630</v>
      </c>
      <c r="AB122" s="83"/>
      <c r="AC122" s="25"/>
      <c r="AD122" s="25"/>
      <c r="AE122" s="42">
        <f t="shared" si="53"/>
        <v>370</v>
      </c>
      <c r="AF122" s="42">
        <f t="shared" si="50"/>
        <v>370</v>
      </c>
      <c r="AG122" s="42"/>
      <c r="AH122" s="42"/>
      <c r="AI122" s="42">
        <f t="shared" si="35"/>
        <v>370</v>
      </c>
      <c r="AJ122" s="42">
        <v>370</v>
      </c>
      <c r="AK122" s="42"/>
      <c r="AL122" s="42"/>
      <c r="AM122" s="42"/>
      <c r="AN122" s="28" t="s">
        <v>44</v>
      </c>
      <c r="AO122" s="20">
        <f t="shared" ref="AO122:AO124" si="76">ROUND(V122*0.95-AA122,-2)</f>
        <v>-200</v>
      </c>
    </row>
    <row r="123" spans="1:41" ht="38.25" x14ac:dyDescent="0.25">
      <c r="A123" s="37" t="s">
        <v>45</v>
      </c>
      <c r="B123" s="82" t="s">
        <v>284</v>
      </c>
      <c r="C123" s="40">
        <v>7952022</v>
      </c>
      <c r="D123" s="40" t="s">
        <v>95</v>
      </c>
      <c r="E123" s="25"/>
      <c r="F123" s="25"/>
      <c r="G123" s="39" t="s">
        <v>142</v>
      </c>
      <c r="H123" s="40" t="s">
        <v>285</v>
      </c>
      <c r="I123" s="102">
        <v>9900</v>
      </c>
      <c r="J123" s="57">
        <v>9000</v>
      </c>
      <c r="K123" s="42">
        <f t="shared" si="52"/>
        <v>900</v>
      </c>
      <c r="L123" s="42">
        <v>900</v>
      </c>
      <c r="M123" s="42">
        <v>850</v>
      </c>
      <c r="N123" s="42">
        <v>850</v>
      </c>
      <c r="O123" s="42">
        <v>900</v>
      </c>
      <c r="P123" s="42">
        <v>900</v>
      </c>
      <c r="Q123" s="42">
        <f>R123</f>
        <v>900</v>
      </c>
      <c r="R123" s="42">
        <v>900</v>
      </c>
      <c r="S123" s="42">
        <v>4500</v>
      </c>
      <c r="T123" s="42">
        <v>4500</v>
      </c>
      <c r="U123" s="25"/>
      <c r="V123" s="57">
        <v>9000</v>
      </c>
      <c r="W123" s="108"/>
      <c r="X123" s="25"/>
      <c r="Y123" s="25"/>
      <c r="Z123" s="25"/>
      <c r="AA123" s="42">
        <v>4500</v>
      </c>
      <c r="AB123" s="83"/>
      <c r="AC123" s="25"/>
      <c r="AD123" s="25"/>
      <c r="AE123" s="42">
        <f t="shared" si="53"/>
        <v>4500</v>
      </c>
      <c r="AF123" s="42">
        <f t="shared" si="50"/>
        <v>4500</v>
      </c>
      <c r="AG123" s="42"/>
      <c r="AH123" s="42"/>
      <c r="AI123" s="42">
        <f t="shared" si="35"/>
        <v>4100</v>
      </c>
      <c r="AJ123" s="42">
        <v>4100</v>
      </c>
      <c r="AK123" s="42"/>
      <c r="AL123" s="42"/>
      <c r="AM123" s="42"/>
      <c r="AN123" s="28" t="s">
        <v>44</v>
      </c>
      <c r="AO123" s="20">
        <f t="shared" si="76"/>
        <v>4100</v>
      </c>
    </row>
    <row r="124" spans="1:41" ht="38.25" x14ac:dyDescent="0.25">
      <c r="A124" s="46">
        <v>3</v>
      </c>
      <c r="B124" s="82" t="s">
        <v>286</v>
      </c>
      <c r="C124" s="40">
        <v>7951837</v>
      </c>
      <c r="D124" s="40" t="s">
        <v>95</v>
      </c>
      <c r="E124" s="25"/>
      <c r="F124" s="25"/>
      <c r="G124" s="39" t="s">
        <v>142</v>
      </c>
      <c r="H124" s="40" t="s">
        <v>287</v>
      </c>
      <c r="I124" s="102">
        <v>10900</v>
      </c>
      <c r="J124" s="57">
        <v>10000</v>
      </c>
      <c r="K124" s="42">
        <f t="shared" si="52"/>
        <v>2000</v>
      </c>
      <c r="L124" s="42">
        <v>2000</v>
      </c>
      <c r="M124" s="42">
        <v>642</v>
      </c>
      <c r="N124" s="42">
        <v>642</v>
      </c>
      <c r="O124" s="42">
        <f>P124</f>
        <v>1200</v>
      </c>
      <c r="P124" s="42">
        <f>L124*0.6</f>
        <v>1200</v>
      </c>
      <c r="Q124" s="42">
        <f>R124</f>
        <v>2000</v>
      </c>
      <c r="R124" s="42">
        <v>2000</v>
      </c>
      <c r="S124" s="42">
        <v>5000</v>
      </c>
      <c r="T124" s="42">
        <v>5000</v>
      </c>
      <c r="U124" s="25"/>
      <c r="V124" s="57">
        <v>10000</v>
      </c>
      <c r="W124" s="108"/>
      <c r="X124" s="25"/>
      <c r="Y124" s="25"/>
      <c r="Z124" s="25"/>
      <c r="AA124" s="42">
        <v>5000</v>
      </c>
      <c r="AB124" s="83"/>
      <c r="AC124" s="25"/>
      <c r="AD124" s="25"/>
      <c r="AE124" s="42">
        <f t="shared" si="53"/>
        <v>5000</v>
      </c>
      <c r="AF124" s="42">
        <f t="shared" si="50"/>
        <v>5000</v>
      </c>
      <c r="AG124" s="42"/>
      <c r="AH124" s="42"/>
      <c r="AI124" s="42">
        <f t="shared" ref="AI124:AI156" si="77">SUM(AJ124:AM124)</f>
        <v>4500</v>
      </c>
      <c r="AJ124" s="42">
        <v>4500</v>
      </c>
      <c r="AK124" s="42"/>
      <c r="AL124" s="42"/>
      <c r="AM124" s="42"/>
      <c r="AN124" s="28" t="s">
        <v>44</v>
      </c>
      <c r="AO124" s="20">
        <f t="shared" si="76"/>
        <v>4500</v>
      </c>
    </row>
    <row r="125" spans="1:41" ht="64.5" customHeight="1" x14ac:dyDescent="0.25">
      <c r="A125" s="46">
        <v>4</v>
      </c>
      <c r="B125" s="82" t="s">
        <v>288</v>
      </c>
      <c r="C125" s="40">
        <v>7953964</v>
      </c>
      <c r="D125" s="40" t="s">
        <v>95</v>
      </c>
      <c r="E125" s="25"/>
      <c r="F125" s="25"/>
      <c r="G125" s="39" t="s">
        <v>142</v>
      </c>
      <c r="H125" s="40" t="s">
        <v>289</v>
      </c>
      <c r="I125" s="102">
        <v>12600</v>
      </c>
      <c r="J125" s="57">
        <v>11500</v>
      </c>
      <c r="K125" s="42">
        <f t="shared" si="52"/>
        <v>3500</v>
      </c>
      <c r="L125" s="42">
        <v>3500</v>
      </c>
      <c r="M125" s="42">
        <v>1863</v>
      </c>
      <c r="N125" s="42">
        <v>1863</v>
      </c>
      <c r="O125" s="42">
        <f>P125</f>
        <v>2100</v>
      </c>
      <c r="P125" s="42">
        <f>L125*0.6</f>
        <v>2100</v>
      </c>
      <c r="Q125" s="42">
        <f>R125</f>
        <v>3500</v>
      </c>
      <c r="R125" s="42">
        <v>3500</v>
      </c>
      <c r="S125" s="42">
        <v>5800</v>
      </c>
      <c r="T125" s="42">
        <v>5800</v>
      </c>
      <c r="U125" s="25"/>
      <c r="V125" s="57">
        <v>11500</v>
      </c>
      <c r="W125" s="108"/>
      <c r="X125" s="25"/>
      <c r="Y125" s="25"/>
      <c r="Z125" s="25"/>
      <c r="AA125" s="42">
        <v>5800</v>
      </c>
      <c r="AB125" s="83"/>
      <c r="AC125" s="25"/>
      <c r="AD125" s="25"/>
      <c r="AE125" s="42">
        <f t="shared" si="53"/>
        <v>5700</v>
      </c>
      <c r="AF125" s="42">
        <f t="shared" si="50"/>
        <v>5700</v>
      </c>
      <c r="AG125" s="42"/>
      <c r="AH125" s="42"/>
      <c r="AI125" s="42">
        <f t="shared" si="77"/>
        <v>5100</v>
      </c>
      <c r="AJ125" s="42">
        <v>5100</v>
      </c>
      <c r="AK125" s="42"/>
      <c r="AL125" s="42"/>
      <c r="AM125" s="42"/>
      <c r="AN125" s="28" t="s">
        <v>44</v>
      </c>
      <c r="AO125" s="20">
        <f>ROUND(V125*0.95-AA125,-2)</f>
        <v>5100</v>
      </c>
    </row>
    <row r="126" spans="1:41" ht="27" customHeight="1" x14ac:dyDescent="0.25">
      <c r="A126" s="106"/>
      <c r="B126" s="106" t="s">
        <v>290</v>
      </c>
      <c r="C126" s="24"/>
      <c r="D126" s="107"/>
      <c r="E126" s="25"/>
      <c r="F126" s="25"/>
      <c r="G126" s="26"/>
      <c r="H126" s="26"/>
      <c r="I126" s="27">
        <f>SUM(I127:I129)</f>
        <v>53800</v>
      </c>
      <c r="J126" s="27">
        <f t="shared" ref="J126:AM126" si="78">SUM(J127:J129)</f>
        <v>52811</v>
      </c>
      <c r="K126" s="27">
        <f t="shared" si="78"/>
        <v>20023</v>
      </c>
      <c r="L126" s="27">
        <f t="shared" si="78"/>
        <v>20023</v>
      </c>
      <c r="M126" s="27">
        <f t="shared" si="78"/>
        <v>3273</v>
      </c>
      <c r="N126" s="27">
        <f t="shared" si="78"/>
        <v>3273</v>
      </c>
      <c r="O126" s="27">
        <f t="shared" si="78"/>
        <v>10300</v>
      </c>
      <c r="P126" s="27">
        <f t="shared" si="78"/>
        <v>10300</v>
      </c>
      <c r="Q126" s="27">
        <f t="shared" si="78"/>
        <v>15700</v>
      </c>
      <c r="R126" s="27">
        <f t="shared" si="78"/>
        <v>15700</v>
      </c>
      <c r="S126" s="27">
        <f t="shared" si="78"/>
        <v>30811</v>
      </c>
      <c r="T126" s="27">
        <f t="shared" si="78"/>
        <v>30811</v>
      </c>
      <c r="U126" s="27">
        <f t="shared" si="78"/>
        <v>0</v>
      </c>
      <c r="V126" s="27">
        <f t="shared" si="78"/>
        <v>53000</v>
      </c>
      <c r="W126" s="27">
        <f t="shared" si="78"/>
        <v>0</v>
      </c>
      <c r="X126" s="27">
        <f t="shared" si="78"/>
        <v>0</v>
      </c>
      <c r="Y126" s="27">
        <f t="shared" si="78"/>
        <v>0</v>
      </c>
      <c r="Z126" s="27">
        <f t="shared" si="78"/>
        <v>0</v>
      </c>
      <c r="AA126" s="27">
        <f t="shared" si="78"/>
        <v>30810.541000000001</v>
      </c>
      <c r="AB126" s="27">
        <f t="shared" si="78"/>
        <v>0</v>
      </c>
      <c r="AC126" s="27">
        <f t="shared" si="78"/>
        <v>0</v>
      </c>
      <c r="AD126" s="27">
        <f t="shared" si="78"/>
        <v>0</v>
      </c>
      <c r="AE126" s="27">
        <f t="shared" si="78"/>
        <v>22000.458999999999</v>
      </c>
      <c r="AF126" s="27">
        <f t="shared" si="78"/>
        <v>22000.458999999999</v>
      </c>
      <c r="AG126" s="27">
        <f t="shared" si="78"/>
        <v>0</v>
      </c>
      <c r="AH126" s="27">
        <f t="shared" si="78"/>
        <v>0</v>
      </c>
      <c r="AI126" s="27">
        <f t="shared" si="78"/>
        <v>19800</v>
      </c>
      <c r="AJ126" s="27">
        <f t="shared" si="78"/>
        <v>19800</v>
      </c>
      <c r="AK126" s="27">
        <f t="shared" si="78"/>
        <v>0</v>
      </c>
      <c r="AL126" s="27">
        <f t="shared" si="78"/>
        <v>0</v>
      </c>
      <c r="AM126" s="27">
        <f t="shared" si="78"/>
        <v>0</v>
      </c>
      <c r="AN126" s="28"/>
      <c r="AO126" s="20">
        <f t="shared" si="71"/>
        <v>16900</v>
      </c>
    </row>
    <row r="127" spans="1:41" ht="45" x14ac:dyDescent="0.25">
      <c r="A127" s="46">
        <v>1</v>
      </c>
      <c r="B127" s="45" t="s">
        <v>291</v>
      </c>
      <c r="C127" s="40">
        <v>7953170</v>
      </c>
      <c r="D127" s="40" t="s">
        <v>292</v>
      </c>
      <c r="E127" s="25"/>
      <c r="F127" s="25"/>
      <c r="G127" s="40" t="s">
        <v>293</v>
      </c>
      <c r="H127" s="56" t="s">
        <v>294</v>
      </c>
      <c r="I127" s="42">
        <v>9800</v>
      </c>
      <c r="J127" s="42">
        <v>8811</v>
      </c>
      <c r="K127" s="42">
        <f t="shared" si="52"/>
        <v>6523</v>
      </c>
      <c r="L127" s="42">
        <f>2200+4323</f>
        <v>6523</v>
      </c>
      <c r="M127" s="42">
        <f>N127</f>
        <v>2200</v>
      </c>
      <c r="N127" s="42">
        <v>2200</v>
      </c>
      <c r="O127" s="42">
        <f>P127</f>
        <v>2200</v>
      </c>
      <c r="P127" s="42">
        <v>2200</v>
      </c>
      <c r="Q127" s="42">
        <f>R127</f>
        <v>2200</v>
      </c>
      <c r="R127" s="42">
        <v>2200</v>
      </c>
      <c r="S127" s="42">
        <f>T127</f>
        <v>8811</v>
      </c>
      <c r="T127" s="42">
        <v>8811</v>
      </c>
      <c r="U127" s="25"/>
      <c r="V127" s="42">
        <v>9000</v>
      </c>
      <c r="W127" s="108"/>
      <c r="X127" s="25"/>
      <c r="Y127" s="25"/>
      <c r="Z127" s="25"/>
      <c r="AA127" s="42">
        <f>4487.541+4323</f>
        <v>8810.5410000000011</v>
      </c>
      <c r="AB127" s="83"/>
      <c r="AC127" s="25"/>
      <c r="AD127" s="25"/>
      <c r="AE127" s="42">
        <f t="shared" si="53"/>
        <v>0.45899999999892316</v>
      </c>
      <c r="AF127" s="42">
        <f>J127-AA127</f>
        <v>0.45899999999892316</v>
      </c>
      <c r="AG127" s="25"/>
      <c r="AH127" s="25"/>
      <c r="AI127" s="42">
        <f t="shared" si="77"/>
        <v>0</v>
      </c>
      <c r="AJ127" s="42"/>
      <c r="AK127" s="42"/>
      <c r="AL127" s="42"/>
      <c r="AM127" s="42"/>
      <c r="AN127" s="28" t="s">
        <v>91</v>
      </c>
      <c r="AO127" s="20">
        <f t="shared" si="71"/>
        <v>-700</v>
      </c>
    </row>
    <row r="128" spans="1:41" ht="45" x14ac:dyDescent="0.25">
      <c r="A128" s="37" t="s">
        <v>45</v>
      </c>
      <c r="B128" s="45" t="s">
        <v>295</v>
      </c>
      <c r="C128" s="40">
        <v>7953450</v>
      </c>
      <c r="D128" s="40" t="s">
        <v>292</v>
      </c>
      <c r="E128" s="25"/>
      <c r="F128" s="25"/>
      <c r="G128" s="40" t="s">
        <v>293</v>
      </c>
      <c r="H128" s="56" t="s">
        <v>296</v>
      </c>
      <c r="I128" s="42">
        <v>24000</v>
      </c>
      <c r="J128" s="42">
        <v>24000</v>
      </c>
      <c r="K128" s="42">
        <f t="shared" si="52"/>
        <v>7500</v>
      </c>
      <c r="L128" s="42">
        <v>7500</v>
      </c>
      <c r="M128" s="42">
        <v>1031</v>
      </c>
      <c r="N128" s="42">
        <v>1031</v>
      </c>
      <c r="O128" s="42">
        <f>P128</f>
        <v>4500</v>
      </c>
      <c r="P128" s="42">
        <f>L128*0.6</f>
        <v>4500</v>
      </c>
      <c r="Q128" s="42">
        <f>R128</f>
        <v>7500</v>
      </c>
      <c r="R128" s="42">
        <v>7500</v>
      </c>
      <c r="S128" s="42">
        <v>12000</v>
      </c>
      <c r="T128" s="42">
        <v>12000</v>
      </c>
      <c r="U128" s="25"/>
      <c r="V128" s="42">
        <v>24000</v>
      </c>
      <c r="W128" s="108"/>
      <c r="X128" s="25"/>
      <c r="Y128" s="25"/>
      <c r="Z128" s="25"/>
      <c r="AA128" s="42">
        <v>12000</v>
      </c>
      <c r="AB128" s="83"/>
      <c r="AC128" s="25"/>
      <c r="AD128" s="25"/>
      <c r="AE128" s="42">
        <f t="shared" si="53"/>
        <v>12000</v>
      </c>
      <c r="AF128" s="42">
        <f t="shared" si="50"/>
        <v>12000</v>
      </c>
      <c r="AG128" s="25"/>
      <c r="AH128" s="25"/>
      <c r="AI128" s="42">
        <f t="shared" si="77"/>
        <v>10800</v>
      </c>
      <c r="AJ128" s="42">
        <v>10800</v>
      </c>
      <c r="AK128" s="42"/>
      <c r="AL128" s="42"/>
      <c r="AM128" s="42"/>
      <c r="AN128" s="28" t="s">
        <v>44</v>
      </c>
      <c r="AO128" s="20">
        <f>ROUND(V128*0.95-AA128,-2)</f>
        <v>10800</v>
      </c>
    </row>
    <row r="129" spans="1:41" ht="45" x14ac:dyDescent="0.25">
      <c r="A129" s="37" t="s">
        <v>48</v>
      </c>
      <c r="B129" s="45" t="s">
        <v>297</v>
      </c>
      <c r="C129" s="40">
        <v>7953169</v>
      </c>
      <c r="D129" s="40" t="s">
        <v>292</v>
      </c>
      <c r="E129" s="25"/>
      <c r="F129" s="25"/>
      <c r="G129" s="40" t="s">
        <v>293</v>
      </c>
      <c r="H129" s="56" t="s">
        <v>298</v>
      </c>
      <c r="I129" s="42">
        <f>J129</f>
        <v>20000</v>
      </c>
      <c r="J129" s="43">
        <v>20000</v>
      </c>
      <c r="K129" s="42">
        <f t="shared" si="52"/>
        <v>6000</v>
      </c>
      <c r="L129" s="42">
        <v>6000</v>
      </c>
      <c r="M129" s="42">
        <v>42</v>
      </c>
      <c r="N129" s="42">
        <v>42</v>
      </c>
      <c r="O129" s="42">
        <f>P129</f>
        <v>3600</v>
      </c>
      <c r="P129" s="42">
        <f>L129*0.6</f>
        <v>3600</v>
      </c>
      <c r="Q129" s="42">
        <f>R129</f>
        <v>6000</v>
      </c>
      <c r="R129" s="42">
        <v>6000</v>
      </c>
      <c r="S129" s="42">
        <v>10000</v>
      </c>
      <c r="T129" s="42">
        <v>10000</v>
      </c>
      <c r="U129" s="25"/>
      <c r="V129" s="42">
        <v>20000</v>
      </c>
      <c r="W129" s="108"/>
      <c r="X129" s="25"/>
      <c r="Y129" s="25"/>
      <c r="Z129" s="25"/>
      <c r="AA129" s="42">
        <v>10000</v>
      </c>
      <c r="AB129" s="83"/>
      <c r="AC129" s="25"/>
      <c r="AD129" s="25"/>
      <c r="AE129" s="42">
        <f t="shared" si="53"/>
        <v>10000</v>
      </c>
      <c r="AF129" s="42">
        <f t="shared" si="50"/>
        <v>10000</v>
      </c>
      <c r="AG129" s="25"/>
      <c r="AH129" s="25"/>
      <c r="AI129" s="42">
        <f t="shared" si="77"/>
        <v>9000</v>
      </c>
      <c r="AJ129" s="42">
        <v>9000</v>
      </c>
      <c r="AK129" s="42"/>
      <c r="AL129" s="42"/>
      <c r="AM129" s="42"/>
      <c r="AN129" s="28" t="s">
        <v>44</v>
      </c>
      <c r="AO129" s="20">
        <f>ROUND(V129*0.95-AA129,-2)</f>
        <v>9000</v>
      </c>
    </row>
    <row r="130" spans="1:41" ht="23.25" customHeight="1" x14ac:dyDescent="0.25">
      <c r="A130" s="106"/>
      <c r="B130" s="106" t="s">
        <v>299</v>
      </c>
      <c r="C130" s="24"/>
      <c r="D130" s="107"/>
      <c r="E130" s="25"/>
      <c r="F130" s="25"/>
      <c r="G130" s="26"/>
      <c r="H130" s="26"/>
      <c r="I130" s="27">
        <f>SUM(I131:I133)</f>
        <v>34000</v>
      </c>
      <c r="J130" s="27">
        <f t="shared" ref="J130:AM130" si="79">SUM(J131:J133)</f>
        <v>30000</v>
      </c>
      <c r="K130" s="27">
        <f t="shared" si="79"/>
        <v>8300</v>
      </c>
      <c r="L130" s="27">
        <f t="shared" si="79"/>
        <v>8300</v>
      </c>
      <c r="M130" s="27">
        <f t="shared" si="79"/>
        <v>6734</v>
      </c>
      <c r="N130" s="27">
        <f t="shared" si="79"/>
        <v>6734</v>
      </c>
      <c r="O130" s="27">
        <f t="shared" si="79"/>
        <v>8300</v>
      </c>
      <c r="P130" s="27">
        <f t="shared" si="79"/>
        <v>8300</v>
      </c>
      <c r="Q130" s="27">
        <f t="shared" si="79"/>
        <v>8300</v>
      </c>
      <c r="R130" s="27">
        <f t="shared" si="79"/>
        <v>8300</v>
      </c>
      <c r="S130" s="27">
        <f t="shared" si="79"/>
        <v>15017</v>
      </c>
      <c r="T130" s="27">
        <f t="shared" si="79"/>
        <v>15017</v>
      </c>
      <c r="U130" s="27">
        <f t="shared" si="79"/>
        <v>0</v>
      </c>
      <c r="V130" s="27">
        <f t="shared" si="79"/>
        <v>30000</v>
      </c>
      <c r="W130" s="27">
        <f t="shared" si="79"/>
        <v>0</v>
      </c>
      <c r="X130" s="27">
        <f t="shared" si="79"/>
        <v>0</v>
      </c>
      <c r="Y130" s="27">
        <f t="shared" si="79"/>
        <v>0</v>
      </c>
      <c r="Z130" s="27">
        <f t="shared" si="79"/>
        <v>0</v>
      </c>
      <c r="AA130" s="27">
        <f t="shared" si="79"/>
        <v>15017</v>
      </c>
      <c r="AB130" s="27">
        <f t="shared" si="79"/>
        <v>0</v>
      </c>
      <c r="AC130" s="27">
        <f t="shared" si="79"/>
        <v>0</v>
      </c>
      <c r="AD130" s="27">
        <f t="shared" si="79"/>
        <v>0</v>
      </c>
      <c r="AE130" s="27">
        <f t="shared" si="79"/>
        <v>14983</v>
      </c>
      <c r="AF130" s="27">
        <f t="shared" si="79"/>
        <v>14983</v>
      </c>
      <c r="AG130" s="27">
        <f t="shared" si="79"/>
        <v>0</v>
      </c>
      <c r="AH130" s="27">
        <f t="shared" si="79"/>
        <v>0</v>
      </c>
      <c r="AI130" s="27">
        <f t="shared" si="79"/>
        <v>13500</v>
      </c>
      <c r="AJ130" s="27">
        <f t="shared" si="79"/>
        <v>13500</v>
      </c>
      <c r="AK130" s="27">
        <f t="shared" si="79"/>
        <v>0</v>
      </c>
      <c r="AL130" s="27">
        <f t="shared" si="79"/>
        <v>0</v>
      </c>
      <c r="AM130" s="27">
        <f t="shared" si="79"/>
        <v>0</v>
      </c>
      <c r="AN130" s="28"/>
      <c r="AO130" s="20">
        <f t="shared" si="71"/>
        <v>12000</v>
      </c>
    </row>
    <row r="131" spans="1:41" ht="45" x14ac:dyDescent="0.25">
      <c r="A131" s="46">
        <v>1</v>
      </c>
      <c r="B131" s="45" t="s">
        <v>300</v>
      </c>
      <c r="C131" s="40">
        <v>7954899</v>
      </c>
      <c r="D131" s="40" t="s">
        <v>56</v>
      </c>
      <c r="E131" s="25"/>
      <c r="F131" s="25"/>
      <c r="G131" s="40" t="s">
        <v>301</v>
      </c>
      <c r="H131" s="56" t="s">
        <v>302</v>
      </c>
      <c r="I131" s="57">
        <v>10000</v>
      </c>
      <c r="J131" s="57">
        <v>10000</v>
      </c>
      <c r="K131" s="42">
        <f t="shared" si="52"/>
        <v>2500</v>
      </c>
      <c r="L131" s="42">
        <v>2500</v>
      </c>
      <c r="M131" s="42">
        <v>2500</v>
      </c>
      <c r="N131" s="42">
        <v>2500</v>
      </c>
      <c r="O131" s="42">
        <v>2500</v>
      </c>
      <c r="P131" s="42">
        <v>2500</v>
      </c>
      <c r="Q131" s="42">
        <f>R131</f>
        <v>2500</v>
      </c>
      <c r="R131" s="42">
        <v>2500</v>
      </c>
      <c r="S131" s="42">
        <v>4980</v>
      </c>
      <c r="T131" s="42">
        <v>4980</v>
      </c>
      <c r="U131" s="25"/>
      <c r="V131" s="57">
        <v>10000</v>
      </c>
      <c r="W131" s="108"/>
      <c r="X131" s="25"/>
      <c r="Y131" s="25"/>
      <c r="Z131" s="25"/>
      <c r="AA131" s="42">
        <v>4980</v>
      </c>
      <c r="AB131" s="83"/>
      <c r="AC131" s="25"/>
      <c r="AD131" s="25"/>
      <c r="AE131" s="42">
        <f t="shared" si="53"/>
        <v>5020</v>
      </c>
      <c r="AF131" s="42">
        <f t="shared" si="50"/>
        <v>5020</v>
      </c>
      <c r="AG131" s="25"/>
      <c r="AH131" s="25"/>
      <c r="AI131" s="42">
        <f t="shared" si="77"/>
        <v>4500</v>
      </c>
      <c r="AJ131" s="42">
        <v>4500</v>
      </c>
      <c r="AK131" s="42"/>
      <c r="AL131" s="42"/>
      <c r="AM131" s="42"/>
      <c r="AN131" s="28" t="s">
        <v>44</v>
      </c>
      <c r="AO131" s="20">
        <f>ROUND(V131*0.95-AA131,-2)</f>
        <v>4500</v>
      </c>
    </row>
    <row r="132" spans="1:41" ht="45" x14ac:dyDescent="0.25">
      <c r="A132" s="37" t="s">
        <v>45</v>
      </c>
      <c r="B132" s="45" t="s">
        <v>303</v>
      </c>
      <c r="C132" s="40">
        <v>7954117</v>
      </c>
      <c r="D132" s="40" t="s">
        <v>56</v>
      </c>
      <c r="E132" s="25"/>
      <c r="F132" s="25"/>
      <c r="G132" s="40" t="s">
        <v>301</v>
      </c>
      <c r="H132" s="56" t="s">
        <v>304</v>
      </c>
      <c r="I132" s="42">
        <v>12000</v>
      </c>
      <c r="J132" s="42">
        <v>12000</v>
      </c>
      <c r="K132" s="42">
        <f t="shared" si="52"/>
        <v>3800</v>
      </c>
      <c r="L132" s="42">
        <v>3800</v>
      </c>
      <c r="M132" s="42">
        <v>2234</v>
      </c>
      <c r="N132" s="42">
        <v>2234</v>
      </c>
      <c r="O132" s="42">
        <f>P132</f>
        <v>3800</v>
      </c>
      <c r="P132" s="42">
        <v>3800</v>
      </c>
      <c r="Q132" s="42">
        <f>R132</f>
        <v>3800</v>
      </c>
      <c r="R132" s="42">
        <v>3800</v>
      </c>
      <c r="S132" s="42">
        <v>6000</v>
      </c>
      <c r="T132" s="42">
        <v>6000</v>
      </c>
      <c r="U132" s="25"/>
      <c r="V132" s="42">
        <v>12000</v>
      </c>
      <c r="W132" s="108"/>
      <c r="X132" s="25"/>
      <c r="Y132" s="25"/>
      <c r="Z132" s="25"/>
      <c r="AA132" s="42">
        <v>6000</v>
      </c>
      <c r="AB132" s="83"/>
      <c r="AC132" s="25"/>
      <c r="AD132" s="25"/>
      <c r="AE132" s="42">
        <f t="shared" si="53"/>
        <v>6000</v>
      </c>
      <c r="AF132" s="42">
        <f t="shared" si="50"/>
        <v>6000</v>
      </c>
      <c r="AG132" s="25"/>
      <c r="AH132" s="25"/>
      <c r="AI132" s="42">
        <f t="shared" si="77"/>
        <v>5400</v>
      </c>
      <c r="AJ132" s="42">
        <v>5400</v>
      </c>
      <c r="AK132" s="42"/>
      <c r="AL132" s="42"/>
      <c r="AM132" s="42"/>
      <c r="AN132" s="28" t="s">
        <v>44</v>
      </c>
      <c r="AO132" s="20">
        <f t="shared" ref="AO132:AO133" si="80">ROUND(V132*0.95-AA132,-2)</f>
        <v>5400</v>
      </c>
    </row>
    <row r="133" spans="1:41" ht="48" customHeight="1" x14ac:dyDescent="0.25">
      <c r="A133" s="46">
        <v>3</v>
      </c>
      <c r="B133" s="45" t="s">
        <v>305</v>
      </c>
      <c r="C133" s="40">
        <v>7954521</v>
      </c>
      <c r="D133" s="40" t="s">
        <v>56</v>
      </c>
      <c r="E133" s="25"/>
      <c r="F133" s="25"/>
      <c r="G133" s="40" t="s">
        <v>301</v>
      </c>
      <c r="H133" s="56" t="s">
        <v>306</v>
      </c>
      <c r="I133" s="42">
        <v>12000</v>
      </c>
      <c r="J133" s="42">
        <v>8000</v>
      </c>
      <c r="K133" s="42">
        <f t="shared" si="52"/>
        <v>2000</v>
      </c>
      <c r="L133" s="42">
        <v>2000</v>
      </c>
      <c r="M133" s="42">
        <f>N133</f>
        <v>2000</v>
      </c>
      <c r="N133" s="42">
        <v>2000</v>
      </c>
      <c r="O133" s="42">
        <f>P133</f>
        <v>2000</v>
      </c>
      <c r="P133" s="42">
        <v>2000</v>
      </c>
      <c r="Q133" s="42">
        <f>R133</f>
        <v>2000</v>
      </c>
      <c r="R133" s="42">
        <v>2000</v>
      </c>
      <c r="S133" s="42">
        <v>4037</v>
      </c>
      <c r="T133" s="42">
        <v>4037</v>
      </c>
      <c r="U133" s="25"/>
      <c r="V133" s="42">
        <v>8000</v>
      </c>
      <c r="W133" s="108"/>
      <c r="X133" s="25"/>
      <c r="Y133" s="25"/>
      <c r="Z133" s="25"/>
      <c r="AA133" s="42">
        <v>4037</v>
      </c>
      <c r="AB133" s="83"/>
      <c r="AC133" s="25"/>
      <c r="AD133" s="25"/>
      <c r="AE133" s="42">
        <f t="shared" si="53"/>
        <v>3963</v>
      </c>
      <c r="AF133" s="42">
        <f t="shared" si="50"/>
        <v>3963</v>
      </c>
      <c r="AG133" s="25"/>
      <c r="AH133" s="25"/>
      <c r="AI133" s="42">
        <f t="shared" si="77"/>
        <v>3600</v>
      </c>
      <c r="AJ133" s="42">
        <v>3600</v>
      </c>
      <c r="AK133" s="42"/>
      <c r="AL133" s="42"/>
      <c r="AM133" s="42"/>
      <c r="AN133" s="28" t="s">
        <v>44</v>
      </c>
      <c r="AO133" s="20">
        <f t="shared" si="80"/>
        <v>3600</v>
      </c>
    </row>
    <row r="134" spans="1:41" ht="26.25" customHeight="1" x14ac:dyDescent="0.25">
      <c r="A134" s="106"/>
      <c r="B134" s="106" t="s">
        <v>307</v>
      </c>
      <c r="C134" s="24"/>
      <c r="D134" s="107"/>
      <c r="E134" s="25"/>
      <c r="F134" s="25"/>
      <c r="G134" s="26"/>
      <c r="H134" s="26"/>
      <c r="I134" s="27">
        <f>SUM(I135:I138)</f>
        <v>55500</v>
      </c>
      <c r="J134" s="27">
        <f t="shared" ref="J134:AM134" si="81">SUM(J135:J138)</f>
        <v>53900</v>
      </c>
      <c r="K134" s="27">
        <f t="shared" si="81"/>
        <v>18673.445</v>
      </c>
      <c r="L134" s="27">
        <f t="shared" si="81"/>
        <v>18673.445</v>
      </c>
      <c r="M134" s="27">
        <f t="shared" si="81"/>
        <v>7179</v>
      </c>
      <c r="N134" s="27">
        <f t="shared" si="81"/>
        <v>7179</v>
      </c>
      <c r="O134" s="27">
        <f t="shared" si="81"/>
        <v>12680</v>
      </c>
      <c r="P134" s="27">
        <f t="shared" si="81"/>
        <v>12680</v>
      </c>
      <c r="Q134" s="27">
        <f t="shared" si="81"/>
        <v>14680</v>
      </c>
      <c r="R134" s="27">
        <f t="shared" si="81"/>
        <v>14680</v>
      </c>
      <c r="S134" s="27">
        <f t="shared" si="81"/>
        <v>27632.445</v>
      </c>
      <c r="T134" s="27">
        <f t="shared" si="81"/>
        <v>27632.445</v>
      </c>
      <c r="U134" s="27">
        <f t="shared" si="81"/>
        <v>0</v>
      </c>
      <c r="V134" s="27">
        <f t="shared" si="81"/>
        <v>53900</v>
      </c>
      <c r="W134" s="27">
        <f t="shared" si="81"/>
        <v>0</v>
      </c>
      <c r="X134" s="27">
        <f t="shared" si="81"/>
        <v>0</v>
      </c>
      <c r="Y134" s="27">
        <f t="shared" si="81"/>
        <v>0</v>
      </c>
      <c r="Z134" s="27">
        <f t="shared" si="81"/>
        <v>0</v>
      </c>
      <c r="AA134" s="27">
        <f t="shared" si="81"/>
        <v>27632.445</v>
      </c>
      <c r="AB134" s="27">
        <f t="shared" si="81"/>
        <v>0</v>
      </c>
      <c r="AC134" s="27">
        <f t="shared" si="81"/>
        <v>0</v>
      </c>
      <c r="AD134" s="27">
        <f t="shared" si="81"/>
        <v>0</v>
      </c>
      <c r="AE134" s="27">
        <f t="shared" si="81"/>
        <v>26267.555</v>
      </c>
      <c r="AF134" s="27">
        <f t="shared" si="81"/>
        <v>26267.555</v>
      </c>
      <c r="AG134" s="27">
        <f t="shared" si="81"/>
        <v>0</v>
      </c>
      <c r="AH134" s="27">
        <f t="shared" si="81"/>
        <v>0</v>
      </c>
      <c r="AI134" s="27">
        <f t="shared" si="81"/>
        <v>22500</v>
      </c>
      <c r="AJ134" s="27">
        <f t="shared" si="81"/>
        <v>22500</v>
      </c>
      <c r="AK134" s="27">
        <f t="shared" si="81"/>
        <v>0</v>
      </c>
      <c r="AL134" s="27">
        <f t="shared" si="81"/>
        <v>0</v>
      </c>
      <c r="AM134" s="27">
        <f t="shared" si="81"/>
        <v>0</v>
      </c>
      <c r="AN134" s="28"/>
      <c r="AO134" s="20">
        <f t="shared" si="71"/>
        <v>20900</v>
      </c>
    </row>
    <row r="135" spans="1:41" ht="42.75" customHeight="1" x14ac:dyDescent="0.25">
      <c r="A135" s="46">
        <v>1</v>
      </c>
      <c r="B135" s="45" t="s">
        <v>308</v>
      </c>
      <c r="C135" s="40">
        <v>7949891</v>
      </c>
      <c r="D135" s="40" t="s">
        <v>99</v>
      </c>
      <c r="E135" s="25"/>
      <c r="F135" s="25"/>
      <c r="G135" s="40" t="s">
        <v>309</v>
      </c>
      <c r="H135" s="40" t="s">
        <v>310</v>
      </c>
      <c r="I135" s="42">
        <v>10000</v>
      </c>
      <c r="J135" s="42">
        <v>9400</v>
      </c>
      <c r="K135" s="42">
        <f t="shared" si="52"/>
        <v>2680</v>
      </c>
      <c r="L135" s="42">
        <v>2680</v>
      </c>
      <c r="M135" s="42">
        <v>1851</v>
      </c>
      <c r="N135" s="42">
        <v>1851</v>
      </c>
      <c r="O135" s="42">
        <f>P135</f>
        <v>2680</v>
      </c>
      <c r="P135" s="42">
        <v>2680</v>
      </c>
      <c r="Q135" s="42">
        <f>R135</f>
        <v>2680</v>
      </c>
      <c r="R135" s="42">
        <v>2680</v>
      </c>
      <c r="S135" s="42">
        <v>5380</v>
      </c>
      <c r="T135" s="42">
        <v>5380</v>
      </c>
      <c r="U135" s="25"/>
      <c r="V135" s="42">
        <v>9400</v>
      </c>
      <c r="W135" s="108"/>
      <c r="X135" s="25"/>
      <c r="Y135" s="25"/>
      <c r="Z135" s="25"/>
      <c r="AA135" s="42">
        <v>5380</v>
      </c>
      <c r="AB135" s="83"/>
      <c r="AC135" s="25"/>
      <c r="AD135" s="25"/>
      <c r="AE135" s="42">
        <f t="shared" si="53"/>
        <v>4020</v>
      </c>
      <c r="AF135" s="42">
        <f t="shared" si="50"/>
        <v>4020</v>
      </c>
      <c r="AG135" s="25"/>
      <c r="AH135" s="25"/>
      <c r="AI135" s="42">
        <f t="shared" si="77"/>
        <v>4000</v>
      </c>
      <c r="AJ135" s="42">
        <v>4000</v>
      </c>
      <c r="AK135" s="42"/>
      <c r="AL135" s="42"/>
      <c r="AM135" s="42"/>
      <c r="AN135" s="28" t="s">
        <v>44</v>
      </c>
      <c r="AO135" s="20">
        <f>ROUND(V135*0.95-AA135,-2)</f>
        <v>3600</v>
      </c>
    </row>
    <row r="136" spans="1:41" ht="45" x14ac:dyDescent="0.25">
      <c r="A136" s="46">
        <v>2</v>
      </c>
      <c r="B136" s="45" t="s">
        <v>311</v>
      </c>
      <c r="C136" s="40">
        <v>220220002</v>
      </c>
      <c r="D136" s="40" t="s">
        <v>99</v>
      </c>
      <c r="E136" s="25"/>
      <c r="F136" s="25"/>
      <c r="G136" s="40" t="s">
        <v>309</v>
      </c>
      <c r="H136" s="40" t="s">
        <v>312</v>
      </c>
      <c r="I136" s="102">
        <v>23500</v>
      </c>
      <c r="J136" s="57">
        <v>22500</v>
      </c>
      <c r="K136" s="42">
        <f t="shared" si="52"/>
        <v>5000</v>
      </c>
      <c r="L136" s="42">
        <v>5000</v>
      </c>
      <c r="M136" s="42">
        <v>236</v>
      </c>
      <c r="N136" s="42">
        <v>236</v>
      </c>
      <c r="O136" s="42">
        <f>P136</f>
        <v>3000</v>
      </c>
      <c r="P136" s="42">
        <f>L136*0.6</f>
        <v>3000</v>
      </c>
      <c r="Q136" s="42">
        <f>R136</f>
        <v>5000</v>
      </c>
      <c r="R136" s="42">
        <v>5000</v>
      </c>
      <c r="S136" s="42">
        <v>5340</v>
      </c>
      <c r="T136" s="42">
        <v>5340</v>
      </c>
      <c r="U136" s="25"/>
      <c r="V136" s="57">
        <v>22500</v>
      </c>
      <c r="W136" s="108"/>
      <c r="X136" s="25"/>
      <c r="Y136" s="25"/>
      <c r="Z136" s="25"/>
      <c r="AA136" s="42">
        <v>5340</v>
      </c>
      <c r="AB136" s="83"/>
      <c r="AC136" s="25"/>
      <c r="AD136" s="25"/>
      <c r="AE136" s="42">
        <f t="shared" si="53"/>
        <v>17160</v>
      </c>
      <c r="AF136" s="42">
        <f t="shared" si="50"/>
        <v>17160</v>
      </c>
      <c r="AG136" s="25"/>
      <c r="AH136" s="25"/>
      <c r="AI136" s="42">
        <f t="shared" si="77"/>
        <v>14000</v>
      </c>
      <c r="AJ136" s="42">
        <v>14000</v>
      </c>
      <c r="AK136" s="42"/>
      <c r="AL136" s="42"/>
      <c r="AM136" s="42"/>
      <c r="AN136" s="28" t="s">
        <v>44</v>
      </c>
      <c r="AO136" s="20">
        <f t="shared" si="71"/>
        <v>14900</v>
      </c>
    </row>
    <row r="137" spans="1:41" ht="45" x14ac:dyDescent="0.25">
      <c r="A137" s="46">
        <v>3</v>
      </c>
      <c r="B137" s="45" t="s">
        <v>313</v>
      </c>
      <c r="C137" s="40">
        <v>7949430</v>
      </c>
      <c r="D137" s="40" t="s">
        <v>99</v>
      </c>
      <c r="E137" s="25"/>
      <c r="F137" s="25"/>
      <c r="G137" s="40" t="s">
        <v>309</v>
      </c>
      <c r="H137" s="40" t="s">
        <v>314</v>
      </c>
      <c r="I137" s="102">
        <v>8000</v>
      </c>
      <c r="J137" s="102">
        <v>8000</v>
      </c>
      <c r="K137" s="42">
        <f t="shared" si="52"/>
        <v>4758</v>
      </c>
      <c r="L137" s="42">
        <f>3000+1758</f>
        <v>4758</v>
      </c>
      <c r="M137" s="42">
        <v>1092</v>
      </c>
      <c r="N137" s="42">
        <v>1092</v>
      </c>
      <c r="O137" s="42">
        <f>P137</f>
        <v>3000</v>
      </c>
      <c r="P137" s="42">
        <v>3000</v>
      </c>
      <c r="Q137" s="42">
        <f>R137</f>
        <v>3000</v>
      </c>
      <c r="R137" s="42">
        <v>3000</v>
      </c>
      <c r="S137" s="42">
        <f>5600+1758</f>
        <v>7358</v>
      </c>
      <c r="T137" s="42">
        <f>5600+1758</f>
        <v>7358</v>
      </c>
      <c r="U137" s="25"/>
      <c r="V137" s="102">
        <v>8000</v>
      </c>
      <c r="W137" s="108"/>
      <c r="X137" s="25"/>
      <c r="Y137" s="25"/>
      <c r="Z137" s="25"/>
      <c r="AA137" s="42">
        <f>5600+1758</f>
        <v>7358</v>
      </c>
      <c r="AB137" s="83"/>
      <c r="AC137" s="25"/>
      <c r="AD137" s="25"/>
      <c r="AE137" s="42">
        <f t="shared" si="53"/>
        <v>642</v>
      </c>
      <c r="AF137" s="42">
        <f t="shared" si="50"/>
        <v>642</v>
      </c>
      <c r="AG137" s="25"/>
      <c r="AH137" s="25"/>
      <c r="AI137" s="42">
        <f t="shared" si="77"/>
        <v>500</v>
      </c>
      <c r="AJ137" s="42">
        <v>500</v>
      </c>
      <c r="AK137" s="42"/>
      <c r="AL137" s="42"/>
      <c r="AM137" s="42"/>
      <c r="AN137" s="28" t="s">
        <v>44</v>
      </c>
      <c r="AO137" s="20">
        <f t="shared" si="71"/>
        <v>-200</v>
      </c>
    </row>
    <row r="138" spans="1:41" ht="44.25" customHeight="1" x14ac:dyDescent="0.25">
      <c r="A138" s="46">
        <v>4</v>
      </c>
      <c r="B138" s="45" t="s">
        <v>315</v>
      </c>
      <c r="C138" s="40">
        <v>7948747</v>
      </c>
      <c r="D138" s="40" t="s">
        <v>99</v>
      </c>
      <c r="E138" s="25"/>
      <c r="F138" s="25"/>
      <c r="G138" s="40" t="s">
        <v>309</v>
      </c>
      <c r="H138" s="56" t="s">
        <v>316</v>
      </c>
      <c r="I138" s="102">
        <v>14000</v>
      </c>
      <c r="J138" s="57">
        <v>14000</v>
      </c>
      <c r="K138" s="42">
        <f t="shared" si="52"/>
        <v>6235.4449999999997</v>
      </c>
      <c r="L138" s="42">
        <f>4000+2235.445</f>
        <v>6235.4449999999997</v>
      </c>
      <c r="M138" s="42">
        <f>N138</f>
        <v>4000</v>
      </c>
      <c r="N138" s="42">
        <v>4000</v>
      </c>
      <c r="O138" s="42">
        <f>P138</f>
        <v>4000</v>
      </c>
      <c r="P138" s="42">
        <v>4000</v>
      </c>
      <c r="Q138" s="42">
        <f>R138</f>
        <v>4000</v>
      </c>
      <c r="R138" s="42">
        <v>4000</v>
      </c>
      <c r="S138" s="42">
        <f>7319+2235.445</f>
        <v>9554.4449999999997</v>
      </c>
      <c r="T138" s="42">
        <f>7319+2235.445</f>
        <v>9554.4449999999997</v>
      </c>
      <c r="U138" s="25"/>
      <c r="V138" s="57">
        <v>14000</v>
      </c>
      <c r="W138" s="108"/>
      <c r="X138" s="25"/>
      <c r="Y138" s="25"/>
      <c r="Z138" s="25"/>
      <c r="AA138" s="42">
        <f>7319+2235.445</f>
        <v>9554.4449999999997</v>
      </c>
      <c r="AB138" s="83"/>
      <c r="AC138" s="25"/>
      <c r="AD138" s="25"/>
      <c r="AE138" s="42">
        <f t="shared" si="53"/>
        <v>4445.5550000000003</v>
      </c>
      <c r="AF138" s="42">
        <f t="shared" si="50"/>
        <v>4445.5550000000003</v>
      </c>
      <c r="AG138" s="25"/>
      <c r="AH138" s="25"/>
      <c r="AI138" s="42">
        <f t="shared" si="77"/>
        <v>4000</v>
      </c>
      <c r="AJ138" s="42">
        <v>4000</v>
      </c>
      <c r="AK138" s="42"/>
      <c r="AL138" s="42"/>
      <c r="AM138" s="42"/>
      <c r="AN138" s="28" t="s">
        <v>44</v>
      </c>
      <c r="AO138" s="20">
        <f>ROUND(V138*0.95-AA138,-2)</f>
        <v>3700</v>
      </c>
    </row>
    <row r="139" spans="1:41" ht="26.25" customHeight="1" x14ac:dyDescent="0.25">
      <c r="A139" s="106"/>
      <c r="B139" s="106" t="s">
        <v>317</v>
      </c>
      <c r="C139" s="24"/>
      <c r="D139" s="107"/>
      <c r="E139" s="25"/>
      <c r="F139" s="25"/>
      <c r="G139" s="26"/>
      <c r="H139" s="26"/>
      <c r="I139" s="27">
        <f t="shared" ref="I139:AM139" si="82">SUM(I140:I140)</f>
        <v>14000</v>
      </c>
      <c r="J139" s="27">
        <f t="shared" si="82"/>
        <v>12000</v>
      </c>
      <c r="K139" s="27">
        <f t="shared" si="82"/>
        <v>4000</v>
      </c>
      <c r="L139" s="27">
        <f t="shared" si="82"/>
        <v>4000</v>
      </c>
      <c r="M139" s="27">
        <f t="shared" si="82"/>
        <v>1268</v>
      </c>
      <c r="N139" s="27">
        <f t="shared" si="82"/>
        <v>1268</v>
      </c>
      <c r="O139" s="27">
        <f t="shared" si="82"/>
        <v>2400</v>
      </c>
      <c r="P139" s="27">
        <f t="shared" si="82"/>
        <v>2400</v>
      </c>
      <c r="Q139" s="27">
        <f t="shared" si="82"/>
        <v>4000</v>
      </c>
      <c r="R139" s="27">
        <f t="shared" si="82"/>
        <v>4000</v>
      </c>
      <c r="S139" s="27">
        <f t="shared" si="82"/>
        <v>7800</v>
      </c>
      <c r="T139" s="27">
        <f t="shared" si="82"/>
        <v>7800</v>
      </c>
      <c r="U139" s="27">
        <f t="shared" si="82"/>
        <v>0</v>
      </c>
      <c r="V139" s="27">
        <f t="shared" si="82"/>
        <v>12000</v>
      </c>
      <c r="W139" s="27">
        <f t="shared" si="82"/>
        <v>0</v>
      </c>
      <c r="X139" s="27">
        <f t="shared" si="82"/>
        <v>0</v>
      </c>
      <c r="Y139" s="27">
        <f t="shared" si="82"/>
        <v>0</v>
      </c>
      <c r="Z139" s="27">
        <f t="shared" si="82"/>
        <v>0</v>
      </c>
      <c r="AA139" s="27">
        <f t="shared" si="82"/>
        <v>7800</v>
      </c>
      <c r="AB139" s="27">
        <f t="shared" si="82"/>
        <v>0</v>
      </c>
      <c r="AC139" s="27">
        <f t="shared" si="82"/>
        <v>0</v>
      </c>
      <c r="AD139" s="27">
        <f t="shared" si="82"/>
        <v>0</v>
      </c>
      <c r="AE139" s="27">
        <f t="shared" si="82"/>
        <v>4200</v>
      </c>
      <c r="AF139" s="27">
        <f t="shared" si="82"/>
        <v>4200</v>
      </c>
      <c r="AG139" s="27">
        <f t="shared" si="82"/>
        <v>0</v>
      </c>
      <c r="AH139" s="27">
        <f t="shared" si="82"/>
        <v>0</v>
      </c>
      <c r="AI139" s="27">
        <f t="shared" si="82"/>
        <v>4200</v>
      </c>
      <c r="AJ139" s="27">
        <f t="shared" si="82"/>
        <v>4200</v>
      </c>
      <c r="AK139" s="27">
        <f t="shared" si="82"/>
        <v>0</v>
      </c>
      <c r="AL139" s="27">
        <f t="shared" si="82"/>
        <v>0</v>
      </c>
      <c r="AM139" s="27">
        <f t="shared" si="82"/>
        <v>0</v>
      </c>
      <c r="AN139" s="28"/>
      <c r="AO139" s="20">
        <f t="shared" si="71"/>
        <v>3000</v>
      </c>
    </row>
    <row r="140" spans="1:41" ht="45" x14ac:dyDescent="0.25">
      <c r="A140" s="37" t="s">
        <v>38</v>
      </c>
      <c r="B140" s="45" t="s">
        <v>318</v>
      </c>
      <c r="C140" s="40">
        <v>7953966</v>
      </c>
      <c r="D140" s="40" t="s">
        <v>319</v>
      </c>
      <c r="E140" s="25"/>
      <c r="F140" s="25"/>
      <c r="G140" s="40" t="s">
        <v>320</v>
      </c>
      <c r="H140" s="56" t="s">
        <v>321</v>
      </c>
      <c r="I140" s="42">
        <v>14000</v>
      </c>
      <c r="J140" s="42">
        <v>12000</v>
      </c>
      <c r="K140" s="42">
        <f t="shared" si="52"/>
        <v>4000</v>
      </c>
      <c r="L140" s="42">
        <v>4000</v>
      </c>
      <c r="M140" s="42">
        <v>1268</v>
      </c>
      <c r="N140" s="42">
        <v>1268</v>
      </c>
      <c r="O140" s="42">
        <f>P140</f>
        <v>2400</v>
      </c>
      <c r="P140" s="42">
        <f>L140*0.6</f>
        <v>2400</v>
      </c>
      <c r="Q140" s="42">
        <f>R140</f>
        <v>4000</v>
      </c>
      <c r="R140" s="42">
        <v>4000</v>
      </c>
      <c r="S140" s="42">
        <v>7800</v>
      </c>
      <c r="T140" s="42">
        <v>7800</v>
      </c>
      <c r="U140" s="25"/>
      <c r="V140" s="42">
        <v>12000</v>
      </c>
      <c r="W140" s="108"/>
      <c r="X140" s="25"/>
      <c r="Y140" s="25"/>
      <c r="Z140" s="25"/>
      <c r="AA140" s="42">
        <v>7800</v>
      </c>
      <c r="AB140" s="83"/>
      <c r="AC140" s="25"/>
      <c r="AD140" s="25"/>
      <c r="AE140" s="42">
        <f t="shared" si="53"/>
        <v>4200</v>
      </c>
      <c r="AF140" s="42">
        <f t="shared" si="50"/>
        <v>4200</v>
      </c>
      <c r="AG140" s="25"/>
      <c r="AH140" s="25"/>
      <c r="AI140" s="42">
        <f t="shared" si="77"/>
        <v>4200</v>
      </c>
      <c r="AJ140" s="42">
        <v>4200</v>
      </c>
      <c r="AK140" s="42"/>
      <c r="AL140" s="42"/>
      <c r="AM140" s="42"/>
      <c r="AN140" s="28" t="s">
        <v>44</v>
      </c>
      <c r="AO140" s="20">
        <f>ROUND(V140*0.95-AA140,-2)</f>
        <v>3600</v>
      </c>
    </row>
    <row r="141" spans="1:41" ht="26.25" customHeight="1" x14ac:dyDescent="0.25">
      <c r="A141" s="106"/>
      <c r="B141" s="106" t="s">
        <v>322</v>
      </c>
      <c r="C141" s="24"/>
      <c r="D141" s="107"/>
      <c r="E141" s="25"/>
      <c r="F141" s="25"/>
      <c r="G141" s="26"/>
      <c r="H141" s="26"/>
      <c r="I141" s="27">
        <f>SUM(I142:I142)</f>
        <v>25000</v>
      </c>
      <c r="J141" s="27">
        <f t="shared" ref="J141:AM141" si="83">SUM(J142:J142)</f>
        <v>25000</v>
      </c>
      <c r="K141" s="27">
        <f t="shared" si="83"/>
        <v>16000</v>
      </c>
      <c r="L141" s="27">
        <f t="shared" si="83"/>
        <v>16000</v>
      </c>
      <c r="M141" s="27">
        <f t="shared" si="83"/>
        <v>3856</v>
      </c>
      <c r="N141" s="27">
        <f t="shared" si="83"/>
        <v>3856</v>
      </c>
      <c r="O141" s="27">
        <f t="shared" si="83"/>
        <v>6000</v>
      </c>
      <c r="P141" s="27">
        <f t="shared" si="83"/>
        <v>6000</v>
      </c>
      <c r="Q141" s="27">
        <f t="shared" si="83"/>
        <v>6000</v>
      </c>
      <c r="R141" s="27">
        <f t="shared" si="83"/>
        <v>6000</v>
      </c>
      <c r="S141" s="27">
        <f t="shared" si="83"/>
        <v>22357</v>
      </c>
      <c r="T141" s="27">
        <f t="shared" si="83"/>
        <v>22357</v>
      </c>
      <c r="U141" s="27">
        <f t="shared" si="83"/>
        <v>0</v>
      </c>
      <c r="V141" s="27">
        <f t="shared" si="83"/>
        <v>25000</v>
      </c>
      <c r="W141" s="27">
        <f t="shared" si="83"/>
        <v>0</v>
      </c>
      <c r="X141" s="27">
        <f t="shared" si="83"/>
        <v>0</v>
      </c>
      <c r="Y141" s="27">
        <f t="shared" si="83"/>
        <v>0</v>
      </c>
      <c r="Z141" s="27">
        <f t="shared" si="83"/>
        <v>0</v>
      </c>
      <c r="AA141" s="27">
        <f t="shared" si="83"/>
        <v>22357</v>
      </c>
      <c r="AB141" s="27">
        <f t="shared" si="83"/>
        <v>0</v>
      </c>
      <c r="AC141" s="27">
        <f t="shared" si="83"/>
        <v>0</v>
      </c>
      <c r="AD141" s="27">
        <f t="shared" si="83"/>
        <v>0</v>
      </c>
      <c r="AE141" s="27">
        <f t="shared" si="83"/>
        <v>2643</v>
      </c>
      <c r="AF141" s="27">
        <f t="shared" si="83"/>
        <v>2643</v>
      </c>
      <c r="AG141" s="27">
        <f t="shared" si="83"/>
        <v>0</v>
      </c>
      <c r="AH141" s="27">
        <f t="shared" si="83"/>
        <v>0</v>
      </c>
      <c r="AI141" s="27">
        <f t="shared" si="83"/>
        <v>1500</v>
      </c>
      <c r="AJ141" s="27">
        <f t="shared" si="83"/>
        <v>1500</v>
      </c>
      <c r="AK141" s="27">
        <f t="shared" si="83"/>
        <v>0</v>
      </c>
      <c r="AL141" s="27">
        <f t="shared" si="83"/>
        <v>0</v>
      </c>
      <c r="AM141" s="27">
        <f t="shared" si="83"/>
        <v>0</v>
      </c>
      <c r="AN141" s="28"/>
      <c r="AO141" s="20">
        <f t="shared" si="71"/>
        <v>100</v>
      </c>
    </row>
    <row r="142" spans="1:41" ht="45" x14ac:dyDescent="0.25">
      <c r="A142" s="46">
        <v>1</v>
      </c>
      <c r="B142" s="116" t="s">
        <v>323</v>
      </c>
      <c r="C142" s="40">
        <v>7958698</v>
      </c>
      <c r="D142" s="40" t="s">
        <v>176</v>
      </c>
      <c r="E142" s="25"/>
      <c r="F142" s="25"/>
      <c r="G142" s="40" t="s">
        <v>177</v>
      </c>
      <c r="H142" s="40" t="s">
        <v>324</v>
      </c>
      <c r="I142" s="109">
        <v>25000</v>
      </c>
      <c r="J142" s="109">
        <v>25000</v>
      </c>
      <c r="K142" s="42">
        <f t="shared" si="52"/>
        <v>16000</v>
      </c>
      <c r="L142" s="42">
        <v>16000</v>
      </c>
      <c r="M142" s="42">
        <v>3856</v>
      </c>
      <c r="N142" s="42">
        <v>3856</v>
      </c>
      <c r="O142" s="42">
        <f>P142</f>
        <v>6000</v>
      </c>
      <c r="P142" s="42">
        <v>6000</v>
      </c>
      <c r="Q142" s="42">
        <f>R142</f>
        <v>6000</v>
      </c>
      <c r="R142" s="42">
        <v>6000</v>
      </c>
      <c r="S142" s="42">
        <f>12357+10000</f>
        <v>22357</v>
      </c>
      <c r="T142" s="42">
        <f>12357+10000</f>
        <v>22357</v>
      </c>
      <c r="U142" s="42"/>
      <c r="V142" s="42">
        <v>25000</v>
      </c>
      <c r="W142" s="42"/>
      <c r="X142" s="42"/>
      <c r="Y142" s="42"/>
      <c r="Z142" s="42"/>
      <c r="AA142" s="42">
        <f>12357+10000</f>
        <v>22357</v>
      </c>
      <c r="AB142" s="83"/>
      <c r="AC142" s="25"/>
      <c r="AD142" s="25"/>
      <c r="AE142" s="42">
        <f t="shared" si="53"/>
        <v>2643</v>
      </c>
      <c r="AF142" s="42">
        <f t="shared" si="50"/>
        <v>2643</v>
      </c>
      <c r="AG142" s="25"/>
      <c r="AH142" s="25"/>
      <c r="AI142" s="42">
        <f t="shared" si="77"/>
        <v>1500</v>
      </c>
      <c r="AJ142" s="42">
        <v>1500</v>
      </c>
      <c r="AK142" s="42"/>
      <c r="AL142" s="42"/>
      <c r="AM142" s="42"/>
      <c r="AN142" s="28" t="s">
        <v>44</v>
      </c>
      <c r="AO142" s="20">
        <f>ROUND(V142*0.95-AA142,-2)</f>
        <v>1400</v>
      </c>
    </row>
    <row r="143" spans="1:41" ht="24" customHeight="1" x14ac:dyDescent="0.25">
      <c r="A143" s="106"/>
      <c r="B143" s="106" t="s">
        <v>325</v>
      </c>
      <c r="C143" s="24"/>
      <c r="D143" s="107"/>
      <c r="E143" s="25"/>
      <c r="F143" s="25"/>
      <c r="G143" s="26"/>
      <c r="H143" s="26"/>
      <c r="I143" s="27">
        <f>SUM(I144:I146)</f>
        <v>34300</v>
      </c>
      <c r="J143" s="27">
        <f t="shared" ref="J143:AM143" si="84">SUM(J144:J146)</f>
        <v>32290</v>
      </c>
      <c r="K143" s="27">
        <f t="shared" si="84"/>
        <v>13600</v>
      </c>
      <c r="L143" s="27">
        <f t="shared" si="84"/>
        <v>13600</v>
      </c>
      <c r="M143" s="27">
        <f t="shared" si="84"/>
        <v>10345</v>
      </c>
      <c r="N143" s="27">
        <f t="shared" si="84"/>
        <v>10345</v>
      </c>
      <c r="O143" s="27">
        <f t="shared" si="84"/>
        <v>10745</v>
      </c>
      <c r="P143" s="27">
        <f t="shared" si="84"/>
        <v>10745</v>
      </c>
      <c r="Q143" s="27">
        <f t="shared" si="84"/>
        <v>10900</v>
      </c>
      <c r="R143" s="27">
        <f t="shared" si="84"/>
        <v>10900</v>
      </c>
      <c r="S143" s="27">
        <f t="shared" si="84"/>
        <v>25000</v>
      </c>
      <c r="T143" s="27">
        <f t="shared" si="84"/>
        <v>25000</v>
      </c>
      <c r="U143" s="27">
        <f t="shared" si="84"/>
        <v>0</v>
      </c>
      <c r="V143" s="27">
        <f t="shared" si="84"/>
        <v>32300</v>
      </c>
      <c r="W143" s="27">
        <f t="shared" si="84"/>
        <v>0</v>
      </c>
      <c r="X143" s="27">
        <f t="shared" si="84"/>
        <v>0</v>
      </c>
      <c r="Y143" s="27">
        <f t="shared" si="84"/>
        <v>0</v>
      </c>
      <c r="Z143" s="27">
        <f t="shared" si="84"/>
        <v>0</v>
      </c>
      <c r="AA143" s="27">
        <f t="shared" si="84"/>
        <v>25000</v>
      </c>
      <c r="AB143" s="27">
        <f t="shared" si="84"/>
        <v>0</v>
      </c>
      <c r="AC143" s="27">
        <f t="shared" si="84"/>
        <v>0</v>
      </c>
      <c r="AD143" s="27">
        <f t="shared" si="84"/>
        <v>0</v>
      </c>
      <c r="AE143" s="27">
        <f t="shared" si="84"/>
        <v>7290</v>
      </c>
      <c r="AF143" s="27">
        <f t="shared" si="84"/>
        <v>7290</v>
      </c>
      <c r="AG143" s="27">
        <f t="shared" si="84"/>
        <v>0</v>
      </c>
      <c r="AH143" s="27">
        <f t="shared" si="84"/>
        <v>0</v>
      </c>
      <c r="AI143" s="27">
        <f t="shared" si="84"/>
        <v>6690</v>
      </c>
      <c r="AJ143" s="27">
        <f t="shared" si="84"/>
        <v>6690</v>
      </c>
      <c r="AK143" s="27">
        <f t="shared" si="84"/>
        <v>0</v>
      </c>
      <c r="AL143" s="27">
        <f t="shared" si="84"/>
        <v>0</v>
      </c>
      <c r="AM143" s="27">
        <f t="shared" si="84"/>
        <v>0</v>
      </c>
      <c r="AN143" s="28"/>
      <c r="AO143" s="20">
        <f t="shared" si="71"/>
        <v>4100</v>
      </c>
    </row>
    <row r="144" spans="1:41" ht="36.75" customHeight="1" x14ac:dyDescent="0.25">
      <c r="A144" s="37" t="s">
        <v>38</v>
      </c>
      <c r="B144" s="45" t="s">
        <v>326</v>
      </c>
      <c r="C144" s="40">
        <v>7954116</v>
      </c>
      <c r="D144" s="40" t="s">
        <v>172</v>
      </c>
      <c r="E144" s="25"/>
      <c r="F144" s="25"/>
      <c r="G144" s="73" t="s">
        <v>173</v>
      </c>
      <c r="H144" s="56" t="s">
        <v>327</v>
      </c>
      <c r="I144" s="42">
        <v>14900</v>
      </c>
      <c r="J144" s="42">
        <v>14900</v>
      </c>
      <c r="K144" s="42">
        <f t="shared" si="52"/>
        <v>6400</v>
      </c>
      <c r="L144" s="42">
        <v>6400</v>
      </c>
      <c r="M144" s="42">
        <v>5545</v>
      </c>
      <c r="N144" s="42">
        <v>5545</v>
      </c>
      <c r="O144" s="42">
        <v>5545</v>
      </c>
      <c r="P144" s="42">
        <v>5545</v>
      </c>
      <c r="Q144" s="42">
        <f>R144</f>
        <v>5700</v>
      </c>
      <c r="R144" s="42">
        <v>5700</v>
      </c>
      <c r="S144" s="42">
        <f>13900+700</f>
        <v>14600</v>
      </c>
      <c r="T144" s="42">
        <f>13900+700</f>
        <v>14600</v>
      </c>
      <c r="U144" s="25"/>
      <c r="V144" s="42">
        <v>14900</v>
      </c>
      <c r="W144" s="108"/>
      <c r="X144" s="25"/>
      <c r="Y144" s="25"/>
      <c r="Z144" s="25"/>
      <c r="AA144" s="42">
        <f>13900+700</f>
        <v>14600</v>
      </c>
      <c r="AB144" s="83"/>
      <c r="AC144" s="25"/>
      <c r="AD144" s="25"/>
      <c r="AE144" s="42">
        <f t="shared" si="53"/>
        <v>300</v>
      </c>
      <c r="AF144" s="42">
        <f t="shared" ref="AF144:AF156" si="85">V144-AA144</f>
        <v>300</v>
      </c>
      <c r="AG144" s="25"/>
      <c r="AH144" s="25"/>
      <c r="AI144" s="42">
        <f t="shared" si="77"/>
        <v>300</v>
      </c>
      <c r="AJ144" s="42">
        <v>300</v>
      </c>
      <c r="AK144" s="42"/>
      <c r="AL144" s="42"/>
      <c r="AM144" s="42"/>
      <c r="AN144" s="28" t="s">
        <v>140</v>
      </c>
      <c r="AO144" s="20">
        <f t="shared" si="71"/>
        <v>-1200</v>
      </c>
    </row>
    <row r="145" spans="1:41" ht="39.75" customHeight="1" x14ac:dyDescent="0.25">
      <c r="A145" s="37" t="s">
        <v>45</v>
      </c>
      <c r="B145" s="45" t="s">
        <v>328</v>
      </c>
      <c r="C145" s="40">
        <v>7959967</v>
      </c>
      <c r="D145" s="40" t="s">
        <v>172</v>
      </c>
      <c r="E145" s="110"/>
      <c r="F145" s="110"/>
      <c r="G145" s="73" t="s">
        <v>173</v>
      </c>
      <c r="H145" s="40" t="s">
        <v>329</v>
      </c>
      <c r="I145" s="109">
        <v>14000</v>
      </c>
      <c r="J145" s="109">
        <v>12000</v>
      </c>
      <c r="K145" s="42">
        <f t="shared" si="52"/>
        <v>3500</v>
      </c>
      <c r="L145" s="109">
        <v>3500</v>
      </c>
      <c r="M145" s="109">
        <v>3226</v>
      </c>
      <c r="N145" s="109">
        <v>3226</v>
      </c>
      <c r="O145" s="42">
        <f>P145</f>
        <v>3500</v>
      </c>
      <c r="P145" s="109">
        <v>3500</v>
      </c>
      <c r="Q145" s="42">
        <f>R145</f>
        <v>3500</v>
      </c>
      <c r="R145" s="109">
        <v>3500</v>
      </c>
      <c r="S145" s="109">
        <v>5700</v>
      </c>
      <c r="T145" s="109">
        <v>5700</v>
      </c>
      <c r="U145" s="111"/>
      <c r="V145" s="109">
        <v>12000</v>
      </c>
      <c r="W145" s="112"/>
      <c r="X145" s="111"/>
      <c r="Y145" s="111"/>
      <c r="Z145" s="111"/>
      <c r="AA145" s="109">
        <v>5700</v>
      </c>
      <c r="AB145" s="113"/>
      <c r="AC145" s="111"/>
      <c r="AD145" s="111"/>
      <c r="AE145" s="42">
        <f t="shared" si="53"/>
        <v>6300</v>
      </c>
      <c r="AF145" s="42">
        <f t="shared" si="85"/>
        <v>6300</v>
      </c>
      <c r="AG145" s="111"/>
      <c r="AH145" s="111"/>
      <c r="AI145" s="42">
        <f t="shared" si="77"/>
        <v>5700</v>
      </c>
      <c r="AJ145" s="42">
        <v>5700</v>
      </c>
      <c r="AK145" s="42"/>
      <c r="AL145" s="42"/>
      <c r="AM145" s="42"/>
      <c r="AN145" s="28" t="s">
        <v>44</v>
      </c>
      <c r="AO145" s="20">
        <f>ROUND(V145*0.95-AA145,-2)</f>
        <v>5700</v>
      </c>
    </row>
    <row r="146" spans="1:41" ht="36.75" customHeight="1" x14ac:dyDescent="0.25">
      <c r="A146" s="37" t="s">
        <v>48</v>
      </c>
      <c r="B146" s="45" t="s">
        <v>330</v>
      </c>
      <c r="C146" s="40">
        <v>7954118</v>
      </c>
      <c r="D146" s="40" t="s">
        <v>172</v>
      </c>
      <c r="E146" s="110"/>
      <c r="F146" s="110"/>
      <c r="G146" s="73" t="s">
        <v>173</v>
      </c>
      <c r="H146" s="56" t="s">
        <v>331</v>
      </c>
      <c r="I146" s="109">
        <v>5400</v>
      </c>
      <c r="J146" s="109">
        <v>5390</v>
      </c>
      <c r="K146" s="42">
        <f t="shared" si="52"/>
        <v>3700</v>
      </c>
      <c r="L146" s="109">
        <v>3700</v>
      </c>
      <c r="M146" s="109">
        <v>1574</v>
      </c>
      <c r="N146" s="109">
        <v>1574</v>
      </c>
      <c r="O146" s="42">
        <f>P146</f>
        <v>1700</v>
      </c>
      <c r="P146" s="109">
        <v>1700</v>
      </c>
      <c r="Q146" s="42">
        <f>R146</f>
        <v>1700</v>
      </c>
      <c r="R146" s="109">
        <v>1700</v>
      </c>
      <c r="S146" s="109">
        <f>2700+2000</f>
        <v>4700</v>
      </c>
      <c r="T146" s="109">
        <f>2700+2000</f>
        <v>4700</v>
      </c>
      <c r="U146" s="111"/>
      <c r="V146" s="109">
        <v>5400</v>
      </c>
      <c r="W146" s="112"/>
      <c r="X146" s="111"/>
      <c r="Y146" s="111"/>
      <c r="Z146" s="111"/>
      <c r="AA146" s="109">
        <f>2700+2000</f>
        <v>4700</v>
      </c>
      <c r="AB146" s="113"/>
      <c r="AC146" s="111"/>
      <c r="AD146" s="111"/>
      <c r="AE146" s="42">
        <f t="shared" si="53"/>
        <v>690</v>
      </c>
      <c r="AF146" s="42">
        <f>J146-AA146</f>
        <v>690</v>
      </c>
      <c r="AG146" s="111"/>
      <c r="AH146" s="111"/>
      <c r="AI146" s="42">
        <f t="shared" si="77"/>
        <v>690</v>
      </c>
      <c r="AJ146" s="42">
        <v>690</v>
      </c>
      <c r="AK146" s="42"/>
      <c r="AL146" s="42"/>
      <c r="AM146" s="42"/>
      <c r="AN146" s="28" t="s">
        <v>91</v>
      </c>
      <c r="AO146" s="20">
        <f t="shared" si="71"/>
        <v>200</v>
      </c>
    </row>
    <row r="147" spans="1:41" ht="28.5" customHeight="1" x14ac:dyDescent="0.25">
      <c r="A147" s="106"/>
      <c r="B147" s="106" t="s">
        <v>332</v>
      </c>
      <c r="C147" s="39"/>
      <c r="D147" s="107"/>
      <c r="E147" s="110"/>
      <c r="F147" s="110"/>
      <c r="G147" s="39"/>
      <c r="H147" s="39"/>
      <c r="I147" s="27">
        <f>SUM(I148:I150)</f>
        <v>31700</v>
      </c>
      <c r="J147" s="27">
        <f t="shared" ref="J147:AM147" si="86">SUM(J148:J150)</f>
        <v>29200</v>
      </c>
      <c r="K147" s="27">
        <f t="shared" si="86"/>
        <v>11800</v>
      </c>
      <c r="L147" s="27">
        <f t="shared" si="86"/>
        <v>11800</v>
      </c>
      <c r="M147" s="27">
        <f t="shared" si="86"/>
        <v>8800</v>
      </c>
      <c r="N147" s="27">
        <f t="shared" si="86"/>
        <v>8800</v>
      </c>
      <c r="O147" s="27">
        <f t="shared" si="86"/>
        <v>8800</v>
      </c>
      <c r="P147" s="27">
        <f t="shared" si="86"/>
        <v>8800</v>
      </c>
      <c r="Q147" s="27">
        <f t="shared" si="86"/>
        <v>8800</v>
      </c>
      <c r="R147" s="27">
        <f t="shared" si="86"/>
        <v>8800</v>
      </c>
      <c r="S147" s="27">
        <f t="shared" si="86"/>
        <v>16700</v>
      </c>
      <c r="T147" s="27">
        <f t="shared" si="86"/>
        <v>17700</v>
      </c>
      <c r="U147" s="27">
        <f t="shared" si="86"/>
        <v>0</v>
      </c>
      <c r="V147" s="27">
        <f t="shared" si="86"/>
        <v>29200</v>
      </c>
      <c r="W147" s="27">
        <f t="shared" si="86"/>
        <v>0</v>
      </c>
      <c r="X147" s="27">
        <f t="shared" si="86"/>
        <v>0</v>
      </c>
      <c r="Y147" s="27">
        <f t="shared" si="86"/>
        <v>0</v>
      </c>
      <c r="Z147" s="27">
        <f t="shared" si="86"/>
        <v>0</v>
      </c>
      <c r="AA147" s="27">
        <f t="shared" si="86"/>
        <v>17700</v>
      </c>
      <c r="AB147" s="27">
        <f t="shared" si="86"/>
        <v>0</v>
      </c>
      <c r="AC147" s="27">
        <f t="shared" si="86"/>
        <v>0</v>
      </c>
      <c r="AD147" s="27">
        <f t="shared" si="86"/>
        <v>0</v>
      </c>
      <c r="AE147" s="27">
        <f t="shared" si="86"/>
        <v>11500</v>
      </c>
      <c r="AF147" s="27">
        <f t="shared" si="86"/>
        <v>11500</v>
      </c>
      <c r="AG147" s="27">
        <f t="shared" si="86"/>
        <v>0</v>
      </c>
      <c r="AH147" s="27">
        <f t="shared" si="86"/>
        <v>0</v>
      </c>
      <c r="AI147" s="27">
        <f t="shared" si="86"/>
        <v>10100</v>
      </c>
      <c r="AJ147" s="27">
        <f t="shared" si="86"/>
        <v>10100</v>
      </c>
      <c r="AK147" s="27">
        <f t="shared" si="86"/>
        <v>0</v>
      </c>
      <c r="AL147" s="27">
        <f t="shared" si="86"/>
        <v>0</v>
      </c>
      <c r="AM147" s="27">
        <f t="shared" si="86"/>
        <v>0</v>
      </c>
      <c r="AN147" s="28"/>
      <c r="AO147" s="20">
        <f t="shared" si="71"/>
        <v>8600</v>
      </c>
    </row>
    <row r="148" spans="1:41" ht="37.5" customHeight="1" x14ac:dyDescent="0.25">
      <c r="A148" s="46">
        <v>1</v>
      </c>
      <c r="B148" s="117" t="s">
        <v>333</v>
      </c>
      <c r="C148" s="40">
        <v>7954659</v>
      </c>
      <c r="D148" s="40" t="s">
        <v>188</v>
      </c>
      <c r="E148" s="110"/>
      <c r="F148" s="110"/>
      <c r="G148" s="40" t="s">
        <v>189</v>
      </c>
      <c r="H148" s="56" t="s">
        <v>334</v>
      </c>
      <c r="I148" s="102">
        <v>14900</v>
      </c>
      <c r="J148" s="102">
        <v>14900</v>
      </c>
      <c r="K148" s="42">
        <f t="shared" si="52"/>
        <v>6500</v>
      </c>
      <c r="L148" s="102">
        <v>6500</v>
      </c>
      <c r="M148" s="42">
        <f>N148</f>
        <v>4500</v>
      </c>
      <c r="N148" s="102">
        <v>4500</v>
      </c>
      <c r="O148" s="42">
        <f>P148</f>
        <v>4500</v>
      </c>
      <c r="P148" s="102">
        <v>4500</v>
      </c>
      <c r="Q148" s="42">
        <f>R148</f>
        <v>4500</v>
      </c>
      <c r="R148" s="102">
        <v>4500</v>
      </c>
      <c r="S148" s="102">
        <v>9500</v>
      </c>
      <c r="T148" s="102">
        <v>9500</v>
      </c>
      <c r="U148" s="111"/>
      <c r="V148" s="102">
        <v>14900</v>
      </c>
      <c r="W148" s="112"/>
      <c r="X148" s="111"/>
      <c r="Y148" s="111"/>
      <c r="Z148" s="111"/>
      <c r="AA148" s="102">
        <v>9500</v>
      </c>
      <c r="AB148" s="113"/>
      <c r="AC148" s="111"/>
      <c r="AD148" s="111"/>
      <c r="AE148" s="42">
        <f t="shared" si="53"/>
        <v>5400</v>
      </c>
      <c r="AF148" s="42">
        <f t="shared" si="85"/>
        <v>5400</v>
      </c>
      <c r="AG148" s="111"/>
      <c r="AH148" s="111"/>
      <c r="AI148" s="42">
        <f t="shared" si="77"/>
        <v>4700</v>
      </c>
      <c r="AJ148" s="42">
        <v>4700</v>
      </c>
      <c r="AK148" s="42"/>
      <c r="AL148" s="42"/>
      <c r="AM148" s="42"/>
      <c r="AN148" s="28" t="s">
        <v>44</v>
      </c>
      <c r="AO148" s="20">
        <f t="shared" ref="AO148:AO149" si="87">ROUND(V148*0.95-AA148,-2)</f>
        <v>4700</v>
      </c>
    </row>
    <row r="149" spans="1:41" ht="36.75" customHeight="1" x14ac:dyDescent="0.25">
      <c r="A149" s="46">
        <v>2</v>
      </c>
      <c r="B149" s="117" t="s">
        <v>335</v>
      </c>
      <c r="C149" s="40">
        <v>7954661</v>
      </c>
      <c r="D149" s="40" t="s">
        <v>188</v>
      </c>
      <c r="E149" s="110"/>
      <c r="F149" s="110"/>
      <c r="G149" s="40" t="s">
        <v>189</v>
      </c>
      <c r="H149" s="56" t="s">
        <v>336</v>
      </c>
      <c r="I149" s="102">
        <v>6800</v>
      </c>
      <c r="J149" s="102">
        <v>6800</v>
      </c>
      <c r="K149" s="42">
        <f t="shared" si="52"/>
        <v>2000</v>
      </c>
      <c r="L149" s="102">
        <v>2000</v>
      </c>
      <c r="M149" s="42">
        <f>N149</f>
        <v>2000</v>
      </c>
      <c r="N149" s="102">
        <v>2000</v>
      </c>
      <c r="O149" s="42">
        <f>P149</f>
        <v>2000</v>
      </c>
      <c r="P149" s="102">
        <v>2000</v>
      </c>
      <c r="Q149" s="42">
        <f>R149</f>
        <v>2000</v>
      </c>
      <c r="R149" s="102">
        <v>2000</v>
      </c>
      <c r="S149" s="102">
        <v>3400</v>
      </c>
      <c r="T149" s="102">
        <v>3400</v>
      </c>
      <c r="U149" s="111"/>
      <c r="V149" s="102">
        <v>6800</v>
      </c>
      <c r="W149" s="112"/>
      <c r="X149" s="111"/>
      <c r="Y149" s="111"/>
      <c r="Z149" s="111"/>
      <c r="AA149" s="102">
        <v>3400</v>
      </c>
      <c r="AB149" s="113"/>
      <c r="AC149" s="111"/>
      <c r="AD149" s="111"/>
      <c r="AE149" s="42">
        <f t="shared" si="53"/>
        <v>3400</v>
      </c>
      <c r="AF149" s="42">
        <f t="shared" si="85"/>
        <v>3400</v>
      </c>
      <c r="AG149" s="111"/>
      <c r="AH149" s="111"/>
      <c r="AI149" s="42">
        <f t="shared" si="77"/>
        <v>3100</v>
      </c>
      <c r="AJ149" s="42">
        <v>3100</v>
      </c>
      <c r="AK149" s="42"/>
      <c r="AL149" s="42"/>
      <c r="AM149" s="42"/>
      <c r="AN149" s="28" t="s">
        <v>44</v>
      </c>
      <c r="AO149" s="20">
        <f t="shared" si="87"/>
        <v>3100</v>
      </c>
    </row>
    <row r="150" spans="1:41" ht="51" x14ac:dyDescent="0.25">
      <c r="A150" s="46">
        <v>3</v>
      </c>
      <c r="B150" s="117" t="s">
        <v>337</v>
      </c>
      <c r="C150" s="40">
        <v>7954660</v>
      </c>
      <c r="D150" s="40" t="s">
        <v>188</v>
      </c>
      <c r="E150" s="110"/>
      <c r="F150" s="110"/>
      <c r="G150" s="40" t="s">
        <v>189</v>
      </c>
      <c r="H150" s="56" t="s">
        <v>338</v>
      </c>
      <c r="I150" s="109">
        <v>10000</v>
      </c>
      <c r="J150" s="102">
        <v>7500</v>
      </c>
      <c r="K150" s="42">
        <f t="shared" si="52"/>
        <v>3300</v>
      </c>
      <c r="L150" s="102">
        <v>3300</v>
      </c>
      <c r="M150" s="42">
        <f>N150</f>
        <v>2300</v>
      </c>
      <c r="N150" s="102">
        <v>2300</v>
      </c>
      <c r="O150" s="42">
        <f>P150</f>
        <v>2300</v>
      </c>
      <c r="P150" s="102">
        <v>2300</v>
      </c>
      <c r="Q150" s="42">
        <f>R150</f>
        <v>2300</v>
      </c>
      <c r="R150" s="102">
        <v>2300</v>
      </c>
      <c r="S150" s="102">
        <v>3800</v>
      </c>
      <c r="T150" s="102">
        <v>4800</v>
      </c>
      <c r="U150" s="111"/>
      <c r="V150" s="102">
        <v>7500</v>
      </c>
      <c r="W150" s="112"/>
      <c r="X150" s="111"/>
      <c r="Y150" s="111"/>
      <c r="Z150" s="111"/>
      <c r="AA150" s="102">
        <v>4800</v>
      </c>
      <c r="AB150" s="113"/>
      <c r="AC150" s="111"/>
      <c r="AD150" s="111"/>
      <c r="AE150" s="42">
        <f t="shared" si="53"/>
        <v>2700</v>
      </c>
      <c r="AF150" s="42">
        <f t="shared" si="85"/>
        <v>2700</v>
      </c>
      <c r="AG150" s="111"/>
      <c r="AH150" s="111"/>
      <c r="AI150" s="42">
        <f t="shared" si="77"/>
        <v>2300</v>
      </c>
      <c r="AJ150" s="42">
        <v>2300</v>
      </c>
      <c r="AK150" s="42"/>
      <c r="AL150" s="42"/>
      <c r="AM150" s="42"/>
      <c r="AN150" s="28" t="s">
        <v>44</v>
      </c>
      <c r="AO150" s="20">
        <f>ROUND(V150*0.95-AA150,-2)</f>
        <v>2300</v>
      </c>
    </row>
    <row r="151" spans="1:41" ht="26.25" customHeight="1" x14ac:dyDescent="0.25">
      <c r="A151" s="106"/>
      <c r="B151" s="106" t="s">
        <v>339</v>
      </c>
      <c r="C151" s="39"/>
      <c r="D151" s="107"/>
      <c r="E151" s="110"/>
      <c r="F151" s="110"/>
      <c r="G151" s="39"/>
      <c r="H151" s="39"/>
      <c r="I151" s="27">
        <f t="shared" ref="I151:AM151" si="88">SUM(I152:I152)</f>
        <v>12000</v>
      </c>
      <c r="J151" s="27">
        <f t="shared" si="88"/>
        <v>10000</v>
      </c>
      <c r="K151" s="27">
        <f t="shared" si="88"/>
        <v>2659.4340000000002</v>
      </c>
      <c r="L151" s="27">
        <f t="shared" si="88"/>
        <v>2659.4340000000002</v>
      </c>
      <c r="M151" s="27">
        <f t="shared" si="88"/>
        <v>1000</v>
      </c>
      <c r="N151" s="27">
        <f t="shared" si="88"/>
        <v>1000</v>
      </c>
      <c r="O151" s="27">
        <f t="shared" si="88"/>
        <v>1000</v>
      </c>
      <c r="P151" s="27">
        <f t="shared" si="88"/>
        <v>1000</v>
      </c>
      <c r="Q151" s="27">
        <f t="shared" si="88"/>
        <v>1000</v>
      </c>
      <c r="R151" s="27">
        <f t="shared" si="88"/>
        <v>1000</v>
      </c>
      <c r="S151" s="27">
        <f t="shared" si="88"/>
        <v>8659.4339999999993</v>
      </c>
      <c r="T151" s="27">
        <f t="shared" si="88"/>
        <v>8659.4339999999993</v>
      </c>
      <c r="U151" s="27">
        <f t="shared" si="88"/>
        <v>0</v>
      </c>
      <c r="V151" s="27">
        <f t="shared" si="88"/>
        <v>10000</v>
      </c>
      <c r="W151" s="27">
        <f t="shared" si="88"/>
        <v>0</v>
      </c>
      <c r="X151" s="27">
        <f t="shared" si="88"/>
        <v>0</v>
      </c>
      <c r="Y151" s="27">
        <f t="shared" si="88"/>
        <v>0</v>
      </c>
      <c r="Z151" s="27">
        <f t="shared" si="88"/>
        <v>0</v>
      </c>
      <c r="AA151" s="27">
        <f t="shared" si="88"/>
        <v>8659.4339999999993</v>
      </c>
      <c r="AB151" s="27">
        <f t="shared" si="88"/>
        <v>0</v>
      </c>
      <c r="AC151" s="27">
        <f t="shared" si="88"/>
        <v>0</v>
      </c>
      <c r="AD151" s="27">
        <f t="shared" si="88"/>
        <v>0</v>
      </c>
      <c r="AE151" s="27">
        <f t="shared" si="88"/>
        <v>1340.5660000000007</v>
      </c>
      <c r="AF151" s="27">
        <f t="shared" si="88"/>
        <v>1340.5660000000007</v>
      </c>
      <c r="AG151" s="27">
        <f t="shared" si="88"/>
        <v>0</v>
      </c>
      <c r="AH151" s="27">
        <f t="shared" si="88"/>
        <v>0</v>
      </c>
      <c r="AI151" s="27">
        <f t="shared" si="88"/>
        <v>1340</v>
      </c>
      <c r="AJ151" s="27">
        <f t="shared" si="88"/>
        <v>1340</v>
      </c>
      <c r="AK151" s="27">
        <f t="shared" si="88"/>
        <v>0</v>
      </c>
      <c r="AL151" s="27">
        <f t="shared" si="88"/>
        <v>0</v>
      </c>
      <c r="AM151" s="27">
        <f t="shared" si="88"/>
        <v>0</v>
      </c>
      <c r="AN151" s="28"/>
      <c r="AO151" s="20">
        <f t="shared" si="71"/>
        <v>300</v>
      </c>
    </row>
    <row r="152" spans="1:41" ht="45" x14ac:dyDescent="0.25">
      <c r="A152" s="46">
        <v>1</v>
      </c>
      <c r="B152" s="82" t="s">
        <v>340</v>
      </c>
      <c r="C152" s="40">
        <v>7954522</v>
      </c>
      <c r="D152" s="40" t="s">
        <v>341</v>
      </c>
      <c r="E152" s="110"/>
      <c r="F152" s="110"/>
      <c r="G152" s="40" t="s">
        <v>342</v>
      </c>
      <c r="H152" s="56" t="s">
        <v>343</v>
      </c>
      <c r="I152" s="42">
        <v>12000</v>
      </c>
      <c r="J152" s="42">
        <v>10000</v>
      </c>
      <c r="K152" s="42">
        <f t="shared" ref="K152:K156" si="89">L152</f>
        <v>2659.4340000000002</v>
      </c>
      <c r="L152" s="42">
        <v>2659.4340000000002</v>
      </c>
      <c r="M152" s="42">
        <f>N152</f>
        <v>1000</v>
      </c>
      <c r="N152" s="42">
        <v>1000</v>
      </c>
      <c r="O152" s="42">
        <f>P152</f>
        <v>1000</v>
      </c>
      <c r="P152" s="42">
        <v>1000</v>
      </c>
      <c r="Q152" s="42">
        <f>R152</f>
        <v>1000</v>
      </c>
      <c r="R152" s="42">
        <v>1000</v>
      </c>
      <c r="S152" s="42">
        <f>7000+1659.434</f>
        <v>8659.4339999999993</v>
      </c>
      <c r="T152" s="42">
        <f>7000+1659.434</f>
        <v>8659.4339999999993</v>
      </c>
      <c r="U152" s="111"/>
      <c r="V152" s="42">
        <v>10000</v>
      </c>
      <c r="W152" s="112"/>
      <c r="X152" s="111"/>
      <c r="Y152" s="111"/>
      <c r="Z152" s="111"/>
      <c r="AA152" s="42">
        <f>7000+1659.434</f>
        <v>8659.4339999999993</v>
      </c>
      <c r="AB152" s="113"/>
      <c r="AC152" s="111"/>
      <c r="AD152" s="111"/>
      <c r="AE152" s="42">
        <f t="shared" ref="AE152:AE156" si="90">AF152</f>
        <v>1340.5660000000007</v>
      </c>
      <c r="AF152" s="42">
        <f t="shared" si="85"/>
        <v>1340.5660000000007</v>
      </c>
      <c r="AG152" s="111"/>
      <c r="AH152" s="111"/>
      <c r="AI152" s="42">
        <f t="shared" si="77"/>
        <v>1340</v>
      </c>
      <c r="AJ152" s="42">
        <v>1340</v>
      </c>
      <c r="AK152" s="42"/>
      <c r="AL152" s="42"/>
      <c r="AM152" s="42"/>
      <c r="AN152" s="28" t="s">
        <v>44</v>
      </c>
      <c r="AO152" s="20">
        <f t="shared" si="71"/>
        <v>300</v>
      </c>
    </row>
    <row r="153" spans="1:41" ht="24.75" customHeight="1" x14ac:dyDescent="0.25">
      <c r="A153" s="106"/>
      <c r="B153" s="106" t="s">
        <v>344</v>
      </c>
      <c r="C153" s="39"/>
      <c r="D153" s="107"/>
      <c r="E153" s="110"/>
      <c r="F153" s="110"/>
      <c r="G153" s="39"/>
      <c r="H153" s="39"/>
      <c r="I153" s="27">
        <f>SUM(I154:I156)</f>
        <v>60354</v>
      </c>
      <c r="J153" s="27">
        <f t="shared" ref="J153:AM153" si="91">SUM(J154:J156)</f>
        <v>47354</v>
      </c>
      <c r="K153" s="27">
        <f t="shared" si="91"/>
        <v>15400</v>
      </c>
      <c r="L153" s="27">
        <f t="shared" si="91"/>
        <v>15400</v>
      </c>
      <c r="M153" s="27">
        <f t="shared" si="91"/>
        <v>5394</v>
      </c>
      <c r="N153" s="27">
        <f t="shared" si="91"/>
        <v>5394</v>
      </c>
      <c r="O153" s="27">
        <f t="shared" si="91"/>
        <v>8940</v>
      </c>
      <c r="P153" s="27">
        <f t="shared" si="91"/>
        <v>8940</v>
      </c>
      <c r="Q153" s="27">
        <f t="shared" si="91"/>
        <v>12900</v>
      </c>
      <c r="R153" s="27">
        <f t="shared" si="91"/>
        <v>12900</v>
      </c>
      <c r="S153" s="27">
        <f t="shared" si="91"/>
        <v>26200</v>
      </c>
      <c r="T153" s="27">
        <f t="shared" si="91"/>
        <v>26200</v>
      </c>
      <c r="U153" s="27">
        <f t="shared" si="91"/>
        <v>0</v>
      </c>
      <c r="V153" s="27">
        <f t="shared" si="91"/>
        <v>47354</v>
      </c>
      <c r="W153" s="27">
        <f t="shared" si="91"/>
        <v>0</v>
      </c>
      <c r="X153" s="27">
        <f t="shared" si="91"/>
        <v>0</v>
      </c>
      <c r="Y153" s="27">
        <f t="shared" si="91"/>
        <v>0</v>
      </c>
      <c r="Z153" s="27">
        <f t="shared" si="91"/>
        <v>0</v>
      </c>
      <c r="AA153" s="27">
        <f t="shared" si="91"/>
        <v>26200</v>
      </c>
      <c r="AB153" s="27">
        <f t="shared" si="91"/>
        <v>0</v>
      </c>
      <c r="AC153" s="27">
        <f t="shared" si="91"/>
        <v>0</v>
      </c>
      <c r="AD153" s="27">
        <f t="shared" si="91"/>
        <v>0</v>
      </c>
      <c r="AE153" s="27">
        <f t="shared" si="91"/>
        <v>21154</v>
      </c>
      <c r="AF153" s="27">
        <f t="shared" si="91"/>
        <v>21154</v>
      </c>
      <c r="AG153" s="27">
        <f t="shared" si="91"/>
        <v>0</v>
      </c>
      <c r="AH153" s="27">
        <f t="shared" si="91"/>
        <v>0</v>
      </c>
      <c r="AI153" s="27">
        <f t="shared" si="91"/>
        <v>18600</v>
      </c>
      <c r="AJ153" s="27">
        <f t="shared" si="91"/>
        <v>18600</v>
      </c>
      <c r="AK153" s="27">
        <f t="shared" si="91"/>
        <v>0</v>
      </c>
      <c r="AL153" s="27">
        <f t="shared" si="91"/>
        <v>0</v>
      </c>
      <c r="AM153" s="27">
        <f t="shared" si="91"/>
        <v>0</v>
      </c>
      <c r="AN153" s="28"/>
      <c r="AO153" s="20">
        <f t="shared" si="71"/>
        <v>16400</v>
      </c>
    </row>
    <row r="154" spans="1:41" ht="35.25" customHeight="1" x14ac:dyDescent="0.25">
      <c r="A154" s="46">
        <v>1</v>
      </c>
      <c r="B154" s="45" t="s">
        <v>345</v>
      </c>
      <c r="C154" s="40">
        <v>7962625</v>
      </c>
      <c r="D154" s="40" t="s">
        <v>346</v>
      </c>
      <c r="E154" s="110"/>
      <c r="F154" s="110"/>
      <c r="G154" s="40" t="s">
        <v>347</v>
      </c>
      <c r="H154" s="56" t="s">
        <v>348</v>
      </c>
      <c r="I154" s="42">
        <v>28000</v>
      </c>
      <c r="J154" s="42">
        <v>19000</v>
      </c>
      <c r="K154" s="42">
        <f t="shared" si="89"/>
        <v>5700</v>
      </c>
      <c r="L154" s="42">
        <v>5700</v>
      </c>
      <c r="M154" s="42"/>
      <c r="N154" s="42"/>
      <c r="O154" s="42">
        <f>P154</f>
        <v>3420</v>
      </c>
      <c r="P154" s="42">
        <f>L154*0.6</f>
        <v>3420</v>
      </c>
      <c r="Q154" s="42">
        <f>R154</f>
        <v>5700</v>
      </c>
      <c r="R154" s="42">
        <v>5700</v>
      </c>
      <c r="S154" s="42">
        <v>9500</v>
      </c>
      <c r="T154" s="42">
        <v>9500</v>
      </c>
      <c r="U154" s="111"/>
      <c r="V154" s="42">
        <v>19000</v>
      </c>
      <c r="W154" s="112"/>
      <c r="X154" s="111"/>
      <c r="Y154" s="111"/>
      <c r="Z154" s="111"/>
      <c r="AA154" s="42">
        <v>9500</v>
      </c>
      <c r="AB154" s="113"/>
      <c r="AC154" s="111"/>
      <c r="AD154" s="111"/>
      <c r="AE154" s="42">
        <f t="shared" si="90"/>
        <v>9500</v>
      </c>
      <c r="AF154" s="42">
        <f t="shared" si="85"/>
        <v>9500</v>
      </c>
      <c r="AG154" s="111"/>
      <c r="AH154" s="111"/>
      <c r="AI154" s="42">
        <f t="shared" si="77"/>
        <v>8600</v>
      </c>
      <c r="AJ154" s="42">
        <v>8600</v>
      </c>
      <c r="AK154" s="42"/>
      <c r="AL154" s="42"/>
      <c r="AM154" s="42"/>
      <c r="AN154" s="28" t="s">
        <v>44</v>
      </c>
      <c r="AO154" s="20">
        <f t="shared" ref="AO154:AO155" si="92">ROUND(V154*0.95-AA154,-2)</f>
        <v>8600</v>
      </c>
    </row>
    <row r="155" spans="1:41" ht="45" x14ac:dyDescent="0.25">
      <c r="A155" s="46">
        <v>2</v>
      </c>
      <c r="B155" s="45" t="s">
        <v>349</v>
      </c>
      <c r="C155" s="40">
        <v>7956699</v>
      </c>
      <c r="D155" s="40" t="s">
        <v>346</v>
      </c>
      <c r="E155" s="110"/>
      <c r="F155" s="110"/>
      <c r="G155" s="40" t="s">
        <v>347</v>
      </c>
      <c r="H155" s="56" t="s">
        <v>350</v>
      </c>
      <c r="I155" s="42">
        <v>18036</v>
      </c>
      <c r="J155" s="42">
        <v>14036</v>
      </c>
      <c r="K155" s="42">
        <f t="shared" si="89"/>
        <v>4200</v>
      </c>
      <c r="L155" s="42">
        <v>4200</v>
      </c>
      <c r="M155" s="42">
        <v>2394</v>
      </c>
      <c r="N155" s="42">
        <v>2394</v>
      </c>
      <c r="O155" s="42">
        <f>P155</f>
        <v>2520</v>
      </c>
      <c r="P155" s="42">
        <f>L155*0.6</f>
        <v>2520</v>
      </c>
      <c r="Q155" s="42">
        <f>R155</f>
        <v>4200</v>
      </c>
      <c r="R155" s="42">
        <v>4200</v>
      </c>
      <c r="S155" s="42">
        <v>7000</v>
      </c>
      <c r="T155" s="42">
        <v>7000</v>
      </c>
      <c r="U155" s="111"/>
      <c r="V155" s="42">
        <v>14036</v>
      </c>
      <c r="W155" s="112"/>
      <c r="X155" s="111"/>
      <c r="Y155" s="111"/>
      <c r="Z155" s="111"/>
      <c r="AA155" s="42">
        <v>7000</v>
      </c>
      <c r="AB155" s="113"/>
      <c r="AC155" s="111"/>
      <c r="AD155" s="111"/>
      <c r="AE155" s="42">
        <f t="shared" si="90"/>
        <v>7036</v>
      </c>
      <c r="AF155" s="42">
        <f t="shared" si="85"/>
        <v>7036</v>
      </c>
      <c r="AG155" s="111"/>
      <c r="AH155" s="111"/>
      <c r="AI155" s="42">
        <f t="shared" si="77"/>
        <v>6000</v>
      </c>
      <c r="AJ155" s="42">
        <v>6000</v>
      </c>
      <c r="AK155" s="42"/>
      <c r="AL155" s="42"/>
      <c r="AM155" s="42"/>
      <c r="AN155" s="28" t="s">
        <v>44</v>
      </c>
      <c r="AO155" s="20">
        <f t="shared" si="92"/>
        <v>6300</v>
      </c>
    </row>
    <row r="156" spans="1:41" ht="51" x14ac:dyDescent="0.25">
      <c r="A156" s="118">
        <v>3</v>
      </c>
      <c r="B156" s="119" t="s">
        <v>351</v>
      </c>
      <c r="C156" s="120">
        <v>7956348</v>
      </c>
      <c r="D156" s="120" t="s">
        <v>346</v>
      </c>
      <c r="E156" s="121"/>
      <c r="F156" s="121"/>
      <c r="G156" s="120" t="s">
        <v>347</v>
      </c>
      <c r="H156" s="122" t="s">
        <v>352</v>
      </c>
      <c r="I156" s="123">
        <v>14318</v>
      </c>
      <c r="J156" s="123">
        <v>14318</v>
      </c>
      <c r="K156" s="123">
        <f t="shared" si="89"/>
        <v>5500</v>
      </c>
      <c r="L156" s="123">
        <v>5500</v>
      </c>
      <c r="M156" s="123">
        <f>N156</f>
        <v>3000</v>
      </c>
      <c r="N156" s="123">
        <v>3000</v>
      </c>
      <c r="O156" s="123">
        <f>P156</f>
        <v>3000</v>
      </c>
      <c r="P156" s="123">
        <v>3000</v>
      </c>
      <c r="Q156" s="123">
        <f>R156</f>
        <v>3000</v>
      </c>
      <c r="R156" s="123">
        <v>3000</v>
      </c>
      <c r="S156" s="123">
        <f>7200+2500</f>
        <v>9700</v>
      </c>
      <c r="T156" s="123">
        <f>7200+2500</f>
        <v>9700</v>
      </c>
      <c r="U156" s="124"/>
      <c r="V156" s="123">
        <v>14318</v>
      </c>
      <c r="W156" s="125"/>
      <c r="X156" s="124"/>
      <c r="Y156" s="124"/>
      <c r="Z156" s="124"/>
      <c r="AA156" s="123">
        <f>7200+2500</f>
        <v>9700</v>
      </c>
      <c r="AB156" s="126"/>
      <c r="AC156" s="124"/>
      <c r="AD156" s="124"/>
      <c r="AE156" s="123">
        <f t="shared" si="90"/>
        <v>4618</v>
      </c>
      <c r="AF156" s="123">
        <f t="shared" si="85"/>
        <v>4618</v>
      </c>
      <c r="AG156" s="124"/>
      <c r="AH156" s="124"/>
      <c r="AI156" s="123">
        <f t="shared" si="77"/>
        <v>4000</v>
      </c>
      <c r="AJ156" s="123">
        <v>4000</v>
      </c>
      <c r="AK156" s="123"/>
      <c r="AL156" s="123"/>
      <c r="AM156" s="123"/>
      <c r="AN156" s="127" t="s">
        <v>91</v>
      </c>
      <c r="AO156" s="20">
        <f>ROUND(V156*0.95-AA156,-2)</f>
        <v>3900</v>
      </c>
    </row>
  </sheetData>
  <mergeCells count="50">
    <mergeCell ref="F6:F10"/>
    <mergeCell ref="A1:B1"/>
    <mergeCell ref="AL1:AN1"/>
    <mergeCell ref="A2:AN2"/>
    <mergeCell ref="A3:AN3"/>
    <mergeCell ref="A4:AN4"/>
    <mergeCell ref="A5:AN5"/>
    <mergeCell ref="A6:A10"/>
    <mergeCell ref="B6:B10"/>
    <mergeCell ref="C6:C10"/>
    <mergeCell ref="D6:D10"/>
    <mergeCell ref="E6:E10"/>
    <mergeCell ref="G6:G10"/>
    <mergeCell ref="H6:J6"/>
    <mergeCell ref="K6:R8"/>
    <mergeCell ref="S6:T8"/>
    <mergeCell ref="U6:AD7"/>
    <mergeCell ref="S9:S10"/>
    <mergeCell ref="T9:T10"/>
    <mergeCell ref="U9:U10"/>
    <mergeCell ref="V9:V10"/>
    <mergeCell ref="H7:H10"/>
    <mergeCell ref="I7:J7"/>
    <mergeCell ref="I8:I10"/>
    <mergeCell ref="J8:J10"/>
    <mergeCell ref="U8:Y8"/>
    <mergeCell ref="P9:P10"/>
    <mergeCell ref="Q9:Q10"/>
    <mergeCell ref="R9:R10"/>
    <mergeCell ref="AI6:AM7"/>
    <mergeCell ref="AN6:AN10"/>
    <mergeCell ref="Z8:AD8"/>
    <mergeCell ref="AE8:AE10"/>
    <mergeCell ref="AF8:AH10"/>
    <mergeCell ref="AE6:AH7"/>
    <mergeCell ref="K9:K10"/>
    <mergeCell ref="L9:L10"/>
    <mergeCell ref="M9:M10"/>
    <mergeCell ref="N9:N10"/>
    <mergeCell ref="O9:O10"/>
    <mergeCell ref="AL9:AL10"/>
    <mergeCell ref="AM9:AM10"/>
    <mergeCell ref="W9:Y9"/>
    <mergeCell ref="Z9:Z10"/>
    <mergeCell ref="AA9:AA10"/>
    <mergeCell ref="AB9:AD9"/>
    <mergeCell ref="AJ9:AJ10"/>
    <mergeCell ref="AK9:AK10"/>
    <mergeCell ref="AI8:AI10"/>
    <mergeCell ref="AJ8:AM8"/>
  </mergeCells>
  <conditionalFormatting sqref="B33">
    <cfRule type="duplicateValues" dxfId="22" priority="8"/>
  </conditionalFormatting>
  <conditionalFormatting sqref="B34">
    <cfRule type="duplicateValues" dxfId="21" priority="9"/>
  </conditionalFormatting>
  <conditionalFormatting sqref="B97">
    <cfRule type="duplicateValues" dxfId="20" priority="4"/>
  </conditionalFormatting>
  <conditionalFormatting sqref="B148">
    <cfRule type="duplicateValues" dxfId="19" priority="5"/>
  </conditionalFormatting>
  <conditionalFormatting sqref="B149">
    <cfRule type="duplicateValues" dxfId="18" priority="7"/>
  </conditionalFormatting>
  <conditionalFormatting sqref="B150">
    <cfRule type="duplicateValues" dxfId="17" priority="6"/>
  </conditionalFormatting>
  <conditionalFormatting sqref="C148">
    <cfRule type="duplicateValues" dxfId="16" priority="1"/>
  </conditionalFormatting>
  <conditionalFormatting sqref="C149">
    <cfRule type="duplicateValues" dxfId="15" priority="3"/>
  </conditionalFormatting>
  <conditionalFormatting sqref="C150">
    <cfRule type="duplicateValues" dxfId="14" priority="2"/>
  </conditionalFormatting>
  <dataValidations count="1">
    <dataValidation type="list" allowBlank="1" showInputMessage="1" showErrorMessage="1" sqref="D22" xr:uid="{B2F20302-8FAD-4E70-9BA0-F8D362244A40}">
      <formula1>"Ea Súp, Cam pu chia, Buôn Đôn, Toàn tỉnh, Cư M'gar, Lắk &amp; Ea H'leo, Cư Kuin, Krông Bông, Krông Búk, Krông Pắc, Krông Năng, M'Đrắk, Ea H'leo, Ea Kar, TX Buôn Hồ, TP BMT, Krông Ana, Lắk"</formula1>
    </dataValidation>
  </dataValidations>
  <pageMargins left="0.25" right="0.25" top="0.44" bottom="0.25" header="0.3" footer="0.3"/>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4231-990A-4BBA-BE3A-2FBB818DC357}">
  <sheetPr>
    <tabColor rgb="FF92D050"/>
    <pageSetUpPr fitToPage="1"/>
  </sheetPr>
  <dimension ref="A1:AP102"/>
  <sheetViews>
    <sheetView workbookViewId="0">
      <pane xSplit="2" ySplit="10" topLeftCell="C11" activePane="bottomRight" state="frozen"/>
      <selection activeCell="I16" sqref="I16"/>
      <selection pane="topRight" activeCell="I16" sqref="I16"/>
      <selection pane="bottomLeft" activeCell="I16" sqref="I16"/>
      <selection pane="bottomRight" activeCell="A2" sqref="A2:AM2"/>
    </sheetView>
  </sheetViews>
  <sheetFormatPr defaultColWidth="9.140625" defaultRowHeight="15.75" x14ac:dyDescent="0.25"/>
  <cols>
    <col min="1" max="1" width="4.7109375" style="163" customWidth="1"/>
    <col min="2" max="2" width="45" style="136" customWidth="1"/>
    <col min="3" max="3" width="9" style="163" customWidth="1"/>
    <col min="4" max="4" width="6.85546875" style="136" customWidth="1"/>
    <col min="5" max="5" width="12.28515625" style="136" customWidth="1"/>
    <col min="6" max="6" width="9.85546875" style="136" hidden="1" customWidth="1"/>
    <col min="7" max="7" width="11" style="136" hidden="1" customWidth="1"/>
    <col min="8" max="8" width="11" style="136" customWidth="1"/>
    <col min="9" max="9" width="10.7109375" style="136" customWidth="1"/>
    <col min="10" max="10" width="9.42578125" style="136" customWidth="1"/>
    <col min="11" max="11" width="9.7109375" style="136" customWidth="1"/>
    <col min="12" max="12" width="8.5703125" style="136" customWidth="1"/>
    <col min="13" max="13" width="9.42578125" style="136" hidden="1" customWidth="1"/>
    <col min="14" max="14" width="9" style="136" hidden="1" customWidth="1"/>
    <col min="15" max="15" width="11" style="164" hidden="1" customWidth="1"/>
    <col min="16" max="16" width="8.5703125" style="165" hidden="1" customWidth="1"/>
    <col min="17" max="17" width="12.140625" style="165" hidden="1" customWidth="1"/>
    <col min="18" max="18" width="8" style="165" hidden="1" customWidth="1"/>
    <col min="19" max="19" width="8.28515625" style="165" customWidth="1"/>
    <col min="20" max="20" width="7.7109375" style="165" customWidth="1"/>
    <col min="21" max="21" width="9.42578125" style="165" hidden="1" customWidth="1"/>
    <col min="22" max="22" width="9.42578125" style="166" hidden="1" customWidth="1"/>
    <col min="23" max="24" width="9.42578125" style="136" hidden="1" customWidth="1"/>
    <col min="25" max="25" width="16.42578125" style="136" hidden="1" customWidth="1"/>
    <col min="26" max="34" width="0" style="136" hidden="1" customWidth="1"/>
    <col min="35" max="35" width="11.5703125" style="136" customWidth="1"/>
    <col min="36" max="36" width="0" style="136" hidden="1" customWidth="1"/>
    <col min="37" max="37" width="9.140625" style="136"/>
    <col min="38" max="38" width="8.140625" style="136" customWidth="1"/>
    <col min="39" max="39" width="7.28515625" style="136" customWidth="1"/>
    <col min="40" max="42" width="0" style="136" hidden="1" customWidth="1"/>
    <col min="43" max="16384" width="9.140625" style="136"/>
  </cols>
  <sheetData>
    <row r="1" spans="1:42" ht="15.75" customHeight="1" x14ac:dyDescent="0.25">
      <c r="A1" s="347" t="s">
        <v>0</v>
      </c>
      <c r="B1" s="347"/>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348" t="s">
        <v>748</v>
      </c>
      <c r="AL1" s="348"/>
      <c r="AM1" s="348"/>
    </row>
    <row r="2" spans="1:42" x14ac:dyDescent="0.25">
      <c r="A2" s="359" t="s">
        <v>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row>
    <row r="3" spans="1:42" x14ac:dyDescent="0.25">
      <c r="A3" s="359" t="s">
        <v>353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row>
    <row r="4" spans="1:42" s="138" customFormat="1" x14ac:dyDescent="0.25">
      <c r="A4" s="360" t="s">
        <v>747</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row>
    <row r="5" spans="1:42" ht="15.75" customHeight="1" x14ac:dyDescent="0.25">
      <c r="A5" s="361" t="s">
        <v>354</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row>
    <row r="6" spans="1:42" s="5" customFormat="1" ht="18.75" x14ac:dyDescent="0.25">
      <c r="A6" s="332" t="s">
        <v>4</v>
      </c>
      <c r="B6" s="332" t="s">
        <v>5</v>
      </c>
      <c r="C6" s="334" t="s">
        <v>355</v>
      </c>
      <c r="D6" s="332" t="s">
        <v>7</v>
      </c>
      <c r="E6" s="334" t="s">
        <v>10</v>
      </c>
      <c r="F6" s="332" t="s">
        <v>8</v>
      </c>
      <c r="G6" s="332" t="s">
        <v>9</v>
      </c>
      <c r="H6" s="332" t="s">
        <v>11</v>
      </c>
      <c r="I6" s="332"/>
      <c r="J6" s="332"/>
      <c r="K6" s="338" t="s">
        <v>12</v>
      </c>
      <c r="L6" s="339"/>
      <c r="M6" s="339"/>
      <c r="N6" s="339"/>
      <c r="O6" s="339"/>
      <c r="P6" s="339"/>
      <c r="Q6" s="339"/>
      <c r="R6" s="340"/>
      <c r="S6" s="338" t="s">
        <v>13</v>
      </c>
      <c r="T6" s="340"/>
      <c r="U6" s="338" t="s">
        <v>14</v>
      </c>
      <c r="V6" s="339"/>
      <c r="W6" s="339"/>
      <c r="X6" s="339"/>
      <c r="Y6" s="339"/>
      <c r="Z6" s="339"/>
      <c r="AA6" s="339"/>
      <c r="AB6" s="339"/>
      <c r="AC6" s="339"/>
      <c r="AD6" s="340"/>
      <c r="AE6" s="338" t="s">
        <v>15</v>
      </c>
      <c r="AF6" s="339"/>
      <c r="AG6" s="339"/>
      <c r="AH6" s="340"/>
      <c r="AI6" s="338" t="s">
        <v>16</v>
      </c>
      <c r="AJ6" s="339"/>
      <c r="AK6" s="339"/>
      <c r="AL6" s="339"/>
      <c r="AM6" s="332" t="s">
        <v>17</v>
      </c>
    </row>
    <row r="7" spans="1:42" s="5" customFormat="1" ht="18.75" x14ac:dyDescent="0.25">
      <c r="A7" s="332"/>
      <c r="B7" s="332"/>
      <c r="C7" s="335"/>
      <c r="D7" s="332"/>
      <c r="E7" s="335"/>
      <c r="F7" s="332"/>
      <c r="G7" s="332"/>
      <c r="H7" s="332" t="s">
        <v>18</v>
      </c>
      <c r="I7" s="332" t="s">
        <v>19</v>
      </c>
      <c r="J7" s="332"/>
      <c r="K7" s="341"/>
      <c r="L7" s="342"/>
      <c r="M7" s="342"/>
      <c r="N7" s="342"/>
      <c r="O7" s="342"/>
      <c r="P7" s="342"/>
      <c r="Q7" s="342"/>
      <c r="R7" s="343"/>
      <c r="S7" s="341"/>
      <c r="T7" s="343"/>
      <c r="U7" s="344"/>
      <c r="V7" s="345"/>
      <c r="W7" s="345"/>
      <c r="X7" s="345"/>
      <c r="Y7" s="345"/>
      <c r="Z7" s="345"/>
      <c r="AA7" s="345"/>
      <c r="AB7" s="345"/>
      <c r="AC7" s="345"/>
      <c r="AD7" s="346"/>
      <c r="AE7" s="344"/>
      <c r="AF7" s="345"/>
      <c r="AG7" s="345"/>
      <c r="AH7" s="346"/>
      <c r="AI7" s="344"/>
      <c r="AJ7" s="345"/>
      <c r="AK7" s="345"/>
      <c r="AL7" s="345"/>
      <c r="AM7" s="332"/>
    </row>
    <row r="8" spans="1:42" s="5" customFormat="1" ht="18.75" x14ac:dyDescent="0.25">
      <c r="A8" s="332"/>
      <c r="B8" s="332"/>
      <c r="C8" s="335"/>
      <c r="D8" s="332"/>
      <c r="E8" s="335"/>
      <c r="F8" s="332"/>
      <c r="G8" s="332"/>
      <c r="H8" s="332"/>
      <c r="I8" s="334" t="s">
        <v>20</v>
      </c>
      <c r="J8" s="334" t="s">
        <v>24</v>
      </c>
      <c r="K8" s="344"/>
      <c r="L8" s="345"/>
      <c r="M8" s="345"/>
      <c r="N8" s="345"/>
      <c r="O8" s="345"/>
      <c r="P8" s="345"/>
      <c r="Q8" s="345"/>
      <c r="R8" s="346"/>
      <c r="S8" s="344"/>
      <c r="T8" s="346"/>
      <c r="U8" s="356" t="s">
        <v>22</v>
      </c>
      <c r="V8" s="357"/>
      <c r="W8" s="357"/>
      <c r="X8" s="357"/>
      <c r="Y8" s="358"/>
      <c r="Z8" s="356" t="s">
        <v>356</v>
      </c>
      <c r="AA8" s="357"/>
      <c r="AB8" s="357"/>
      <c r="AC8" s="357"/>
      <c r="AD8" s="358"/>
      <c r="AE8" s="332" t="s">
        <v>20</v>
      </c>
      <c r="AF8" s="338" t="s">
        <v>24</v>
      </c>
      <c r="AG8" s="339"/>
      <c r="AH8" s="340"/>
      <c r="AI8" s="332" t="s">
        <v>20</v>
      </c>
      <c r="AJ8" s="332" t="s">
        <v>27</v>
      </c>
      <c r="AK8" s="332"/>
      <c r="AL8" s="332"/>
      <c r="AM8" s="332"/>
    </row>
    <row r="9" spans="1:42" s="5" customFormat="1" ht="18.75" x14ac:dyDescent="0.25">
      <c r="A9" s="332"/>
      <c r="B9" s="332"/>
      <c r="C9" s="335"/>
      <c r="D9" s="332"/>
      <c r="E9" s="335"/>
      <c r="F9" s="332"/>
      <c r="G9" s="332"/>
      <c r="H9" s="332"/>
      <c r="I9" s="335"/>
      <c r="J9" s="354"/>
      <c r="K9" s="334" t="s">
        <v>20</v>
      </c>
      <c r="L9" s="334" t="s">
        <v>24</v>
      </c>
      <c r="M9" s="334" t="s">
        <v>20</v>
      </c>
      <c r="N9" s="334" t="s">
        <v>21</v>
      </c>
      <c r="O9" s="334" t="s">
        <v>20</v>
      </c>
      <c r="P9" s="334" t="s">
        <v>21</v>
      </c>
      <c r="Q9" s="334" t="s">
        <v>20</v>
      </c>
      <c r="R9" s="334" t="s">
        <v>21</v>
      </c>
      <c r="S9" s="334" t="s">
        <v>20</v>
      </c>
      <c r="T9" s="334" t="s">
        <v>24</v>
      </c>
      <c r="U9" s="334" t="s">
        <v>20</v>
      </c>
      <c r="V9" s="332" t="s">
        <v>26</v>
      </c>
      <c r="W9" s="351" t="s">
        <v>27</v>
      </c>
      <c r="X9" s="352"/>
      <c r="Y9" s="353"/>
      <c r="Z9" s="334" t="s">
        <v>20</v>
      </c>
      <c r="AA9" s="332" t="s">
        <v>26</v>
      </c>
      <c r="AB9" s="351" t="s">
        <v>27</v>
      </c>
      <c r="AC9" s="352"/>
      <c r="AD9" s="353"/>
      <c r="AE9" s="332"/>
      <c r="AF9" s="341"/>
      <c r="AG9" s="342"/>
      <c r="AH9" s="343"/>
      <c r="AI9" s="332"/>
      <c r="AJ9" s="332" t="s">
        <v>26</v>
      </c>
      <c r="AK9" s="332" t="s">
        <v>28</v>
      </c>
      <c r="AL9" s="332" t="s">
        <v>29</v>
      </c>
      <c r="AM9" s="332"/>
    </row>
    <row r="10" spans="1:42" s="5" customFormat="1" ht="76.5" x14ac:dyDescent="0.25">
      <c r="A10" s="332"/>
      <c r="B10" s="332"/>
      <c r="C10" s="336"/>
      <c r="D10" s="332"/>
      <c r="E10" s="336"/>
      <c r="F10" s="332"/>
      <c r="G10" s="332"/>
      <c r="H10" s="332"/>
      <c r="I10" s="336"/>
      <c r="J10" s="355"/>
      <c r="K10" s="336"/>
      <c r="L10" s="336"/>
      <c r="M10" s="336"/>
      <c r="N10" s="336"/>
      <c r="O10" s="336"/>
      <c r="P10" s="336"/>
      <c r="Q10" s="336"/>
      <c r="R10" s="336"/>
      <c r="S10" s="336"/>
      <c r="T10" s="336"/>
      <c r="U10" s="336"/>
      <c r="V10" s="332"/>
      <c r="W10" s="6" t="s">
        <v>32</v>
      </c>
      <c r="X10" s="6" t="s">
        <v>33</v>
      </c>
      <c r="Y10" s="6" t="s">
        <v>34</v>
      </c>
      <c r="Z10" s="336"/>
      <c r="AA10" s="332"/>
      <c r="AB10" s="6" t="s">
        <v>32</v>
      </c>
      <c r="AC10" s="6" t="s">
        <v>33</v>
      </c>
      <c r="AD10" s="6" t="s">
        <v>34</v>
      </c>
      <c r="AE10" s="332"/>
      <c r="AF10" s="344"/>
      <c r="AG10" s="345"/>
      <c r="AH10" s="346"/>
      <c r="AI10" s="332"/>
      <c r="AJ10" s="332"/>
      <c r="AK10" s="332"/>
      <c r="AL10" s="332"/>
      <c r="AM10" s="332"/>
    </row>
    <row r="11" spans="1:42" s="142" customFormat="1" ht="18.75" x14ac:dyDescent="0.25">
      <c r="A11" s="140"/>
      <c r="B11" s="140" t="s">
        <v>357</v>
      </c>
      <c r="C11" s="140"/>
      <c r="D11" s="140"/>
      <c r="E11" s="140"/>
      <c r="F11" s="140"/>
      <c r="G11" s="140"/>
      <c r="H11" s="140"/>
      <c r="I11" s="141">
        <f t="shared" ref="I11:AL11" si="0">I12+I83</f>
        <v>837408</v>
      </c>
      <c r="J11" s="141">
        <f t="shared" si="0"/>
        <v>774284</v>
      </c>
      <c r="K11" s="141">
        <f t="shared" si="0"/>
        <v>29921</v>
      </c>
      <c r="L11" s="141">
        <f t="shared" si="0"/>
        <v>29921</v>
      </c>
      <c r="M11" s="141" t="e">
        <f t="shared" si="0"/>
        <v>#REF!</v>
      </c>
      <c r="N11" s="141" t="e">
        <f t="shared" si="0"/>
        <v>#REF!</v>
      </c>
      <c r="O11" s="141" t="e">
        <f t="shared" si="0"/>
        <v>#VALUE!</v>
      </c>
      <c r="P11" s="141" t="e">
        <f t="shared" si="0"/>
        <v>#REF!</v>
      </c>
      <c r="Q11" s="141" t="e">
        <f t="shared" si="0"/>
        <v>#REF!</v>
      </c>
      <c r="R11" s="141" t="e">
        <f t="shared" si="0"/>
        <v>#REF!</v>
      </c>
      <c r="S11" s="141">
        <f t="shared" si="0"/>
        <v>29921</v>
      </c>
      <c r="T11" s="141">
        <f t="shared" si="0"/>
        <v>29921</v>
      </c>
      <c r="U11" s="141" t="e">
        <f t="shared" si="0"/>
        <v>#REF!</v>
      </c>
      <c r="V11" s="141" t="e">
        <f t="shared" si="0"/>
        <v>#REF!</v>
      </c>
      <c r="W11" s="141" t="e">
        <f t="shared" si="0"/>
        <v>#REF!</v>
      </c>
      <c r="X11" s="141" t="e">
        <f t="shared" si="0"/>
        <v>#REF!</v>
      </c>
      <c r="Y11" s="141" t="e">
        <f t="shared" si="0"/>
        <v>#REF!</v>
      </c>
      <c r="Z11" s="141" t="e">
        <f t="shared" si="0"/>
        <v>#REF!</v>
      </c>
      <c r="AA11" s="141" t="e">
        <f t="shared" si="0"/>
        <v>#REF!</v>
      </c>
      <c r="AB11" s="141" t="e">
        <f t="shared" si="0"/>
        <v>#REF!</v>
      </c>
      <c r="AC11" s="141" t="e">
        <f t="shared" si="0"/>
        <v>#REF!</v>
      </c>
      <c r="AD11" s="141" t="e">
        <f t="shared" si="0"/>
        <v>#REF!</v>
      </c>
      <c r="AE11" s="141" t="e">
        <f t="shared" si="0"/>
        <v>#REF!</v>
      </c>
      <c r="AF11" s="141" t="e">
        <f t="shared" si="0"/>
        <v>#REF!</v>
      </c>
      <c r="AG11" s="141" t="e">
        <f t="shared" si="0"/>
        <v>#REF!</v>
      </c>
      <c r="AH11" s="141" t="e">
        <f t="shared" si="0"/>
        <v>#REF!</v>
      </c>
      <c r="AI11" s="141">
        <f t="shared" si="0"/>
        <v>238196</v>
      </c>
      <c r="AJ11" s="141" t="e">
        <f t="shared" si="0"/>
        <v>#REF!</v>
      </c>
      <c r="AK11" s="141">
        <f t="shared" si="0"/>
        <v>236596</v>
      </c>
      <c r="AL11" s="141">
        <f t="shared" si="0"/>
        <v>1600</v>
      </c>
      <c r="AM11" s="140"/>
      <c r="AP11" s="142">
        <f t="shared" ref="AP11:AP74" si="1">AI11-AK11</f>
        <v>1600</v>
      </c>
    </row>
    <row r="12" spans="1:42" s="2" customFormat="1" ht="18.75" x14ac:dyDescent="0.25">
      <c r="A12" s="143" t="s">
        <v>358</v>
      </c>
      <c r="B12" s="144" t="s">
        <v>359</v>
      </c>
      <c r="C12" s="145"/>
      <c r="D12" s="143"/>
      <c r="E12" s="143"/>
      <c r="F12" s="145"/>
      <c r="G12" s="145"/>
      <c r="H12" s="146"/>
      <c r="I12" s="147">
        <f>I13+I17+I22+I27+I33+I37+I41+I46+I48+I50+I58+I66+I71+I77+I81</f>
        <v>673185</v>
      </c>
      <c r="J12" s="147">
        <f>J13+J17+J22+J27+J33+J37+J41+J46+J48+J50+J58+J66+J71+J77+J81</f>
        <v>618061</v>
      </c>
      <c r="K12" s="147">
        <f>K13+K17+K22+K27+K33+K37+K41+K46+K48+K50+K58+K66+K71+K77+K81</f>
        <v>23638</v>
      </c>
      <c r="L12" s="147">
        <f>L13+L17+L22+L27+L33+L37+L41+L46+L48+L50+L58+L66+L71+L77+L81</f>
        <v>23638</v>
      </c>
      <c r="M12" s="147">
        <f t="shared" ref="M12:AL12" si="2">M13+M17+M22+M27+M33+M37+M41+M46+M48+M50+M58+M66+M71+M77+M81</f>
        <v>3030</v>
      </c>
      <c r="N12" s="147">
        <f t="shared" si="2"/>
        <v>3030</v>
      </c>
      <c r="O12" s="147" t="e">
        <f t="shared" si="2"/>
        <v>#VALUE!</v>
      </c>
      <c r="P12" s="147">
        <f t="shared" si="2"/>
        <v>22391</v>
      </c>
      <c r="Q12" s="147">
        <f t="shared" si="2"/>
        <v>22613</v>
      </c>
      <c r="R12" s="147">
        <f t="shared" si="2"/>
        <v>22613</v>
      </c>
      <c r="S12" s="147">
        <f t="shared" si="2"/>
        <v>23638</v>
      </c>
      <c r="T12" s="147">
        <f t="shared" si="2"/>
        <v>23638</v>
      </c>
      <c r="U12" s="147">
        <f t="shared" si="2"/>
        <v>1600</v>
      </c>
      <c r="V12" s="147">
        <f t="shared" si="2"/>
        <v>590761</v>
      </c>
      <c r="W12" s="147">
        <f t="shared" si="2"/>
        <v>0</v>
      </c>
      <c r="X12" s="147">
        <f t="shared" si="2"/>
        <v>0</v>
      </c>
      <c r="Y12" s="147">
        <f t="shared" si="2"/>
        <v>0</v>
      </c>
      <c r="Z12" s="147">
        <f t="shared" si="2"/>
        <v>0</v>
      </c>
      <c r="AA12" s="147">
        <f t="shared" si="2"/>
        <v>22613</v>
      </c>
      <c r="AB12" s="147">
        <f t="shared" si="2"/>
        <v>0</v>
      </c>
      <c r="AC12" s="147">
        <f t="shared" si="2"/>
        <v>0</v>
      </c>
      <c r="AD12" s="147">
        <f t="shared" si="2"/>
        <v>0</v>
      </c>
      <c r="AE12" s="147">
        <f t="shared" si="2"/>
        <v>579623</v>
      </c>
      <c r="AF12" s="147">
        <f t="shared" si="2"/>
        <v>579623</v>
      </c>
      <c r="AG12" s="147">
        <f t="shared" si="2"/>
        <v>0</v>
      </c>
      <c r="AH12" s="147">
        <f t="shared" si="2"/>
        <v>0</v>
      </c>
      <c r="AI12" s="147">
        <f t="shared" si="2"/>
        <v>191196</v>
      </c>
      <c r="AJ12" s="147">
        <f t="shared" si="2"/>
        <v>178500</v>
      </c>
      <c r="AK12" s="147">
        <f t="shared" si="2"/>
        <v>189596</v>
      </c>
      <c r="AL12" s="147">
        <f t="shared" si="2"/>
        <v>1600</v>
      </c>
      <c r="AM12" s="148"/>
      <c r="AN12" s="2">
        <f t="shared" ref="AN12:AN75" si="3">AK12-AI12</f>
        <v>-1600</v>
      </c>
      <c r="AP12" s="142">
        <f t="shared" si="1"/>
        <v>1600</v>
      </c>
    </row>
    <row r="13" spans="1:42" s="2" customFormat="1" ht="18.75" x14ac:dyDescent="0.25">
      <c r="A13" s="106" t="s">
        <v>35</v>
      </c>
      <c r="B13" s="149" t="s">
        <v>360</v>
      </c>
      <c r="C13" s="110"/>
      <c r="D13" s="106"/>
      <c r="E13" s="106"/>
      <c r="F13" s="110"/>
      <c r="G13" s="110"/>
      <c r="H13" s="105"/>
      <c r="I13" s="150">
        <f>SUM(I14:I16)</f>
        <v>36600</v>
      </c>
      <c r="J13" s="150">
        <f t="shared" ref="J13:AL13" si="4">SUM(J14:J16)</f>
        <v>35400</v>
      </c>
      <c r="K13" s="150">
        <f t="shared" si="4"/>
        <v>2045</v>
      </c>
      <c r="L13" s="150">
        <f t="shared" si="4"/>
        <v>2045</v>
      </c>
      <c r="M13" s="150">
        <f t="shared" si="4"/>
        <v>0</v>
      </c>
      <c r="N13" s="150">
        <f t="shared" si="4"/>
        <v>0</v>
      </c>
      <c r="O13" s="150">
        <f t="shared" si="4"/>
        <v>2045</v>
      </c>
      <c r="P13" s="150">
        <f t="shared" si="4"/>
        <v>2045</v>
      </c>
      <c r="Q13" s="150">
        <f t="shared" si="4"/>
        <v>2045</v>
      </c>
      <c r="R13" s="150">
        <f t="shared" si="4"/>
        <v>2045</v>
      </c>
      <c r="S13" s="150">
        <f t="shared" si="4"/>
        <v>2045</v>
      </c>
      <c r="T13" s="150">
        <f t="shared" si="4"/>
        <v>2045</v>
      </c>
      <c r="U13" s="150">
        <f t="shared" si="4"/>
        <v>0</v>
      </c>
      <c r="V13" s="150">
        <f t="shared" si="4"/>
        <v>35400</v>
      </c>
      <c r="W13" s="150">
        <f t="shared" si="4"/>
        <v>0</v>
      </c>
      <c r="X13" s="150">
        <f t="shared" si="4"/>
        <v>0</v>
      </c>
      <c r="Y13" s="150">
        <f t="shared" si="4"/>
        <v>0</v>
      </c>
      <c r="Z13" s="150">
        <f t="shared" si="4"/>
        <v>0</v>
      </c>
      <c r="AA13" s="150">
        <f t="shared" si="4"/>
        <v>2045</v>
      </c>
      <c r="AB13" s="150">
        <f t="shared" si="4"/>
        <v>0</v>
      </c>
      <c r="AC13" s="150">
        <f t="shared" si="4"/>
        <v>0</v>
      </c>
      <c r="AD13" s="150">
        <f t="shared" si="4"/>
        <v>0</v>
      </c>
      <c r="AE13" s="150">
        <f t="shared" si="4"/>
        <v>33355</v>
      </c>
      <c r="AF13" s="150">
        <f t="shared" si="4"/>
        <v>33355</v>
      </c>
      <c r="AG13" s="150">
        <f t="shared" si="4"/>
        <v>0</v>
      </c>
      <c r="AH13" s="150">
        <f t="shared" si="4"/>
        <v>0</v>
      </c>
      <c r="AI13" s="150">
        <f t="shared" si="4"/>
        <v>11200</v>
      </c>
      <c r="AJ13" s="150">
        <f t="shared" si="4"/>
        <v>10700</v>
      </c>
      <c r="AK13" s="150">
        <f t="shared" si="4"/>
        <v>11200</v>
      </c>
      <c r="AL13" s="150">
        <f t="shared" si="4"/>
        <v>0</v>
      </c>
      <c r="AM13" s="111"/>
      <c r="AN13" s="2">
        <f t="shared" si="3"/>
        <v>0</v>
      </c>
      <c r="AP13" s="142">
        <f t="shared" si="1"/>
        <v>0</v>
      </c>
    </row>
    <row r="14" spans="1:42" s="2" customFormat="1" ht="38.25" x14ac:dyDescent="0.25">
      <c r="A14" s="46">
        <v>1</v>
      </c>
      <c r="B14" s="45" t="s">
        <v>361</v>
      </c>
      <c r="C14" s="41">
        <v>8012467</v>
      </c>
      <c r="D14" s="46" t="s">
        <v>119</v>
      </c>
      <c r="E14" s="40" t="s">
        <v>120</v>
      </c>
      <c r="F14" s="110"/>
      <c r="G14" s="110"/>
      <c r="H14" s="105" t="s">
        <v>362</v>
      </c>
      <c r="I14" s="102">
        <v>12000</v>
      </c>
      <c r="J14" s="57">
        <v>11000</v>
      </c>
      <c r="K14" s="42">
        <v>441</v>
      </c>
      <c r="L14" s="42">
        <v>441</v>
      </c>
      <c r="M14" s="42"/>
      <c r="N14" s="42"/>
      <c r="O14" s="42">
        <v>441</v>
      </c>
      <c r="P14" s="42">
        <v>441</v>
      </c>
      <c r="Q14" s="42">
        <v>441</v>
      </c>
      <c r="R14" s="42">
        <v>441</v>
      </c>
      <c r="S14" s="42">
        <v>441</v>
      </c>
      <c r="T14" s="42">
        <v>441</v>
      </c>
      <c r="U14" s="111"/>
      <c r="V14" s="57">
        <v>11000</v>
      </c>
      <c r="W14" s="112"/>
      <c r="X14" s="111"/>
      <c r="Y14" s="111"/>
      <c r="Z14" s="111"/>
      <c r="AA14" s="42">
        <v>441</v>
      </c>
      <c r="AB14" s="113"/>
      <c r="AC14" s="111"/>
      <c r="AD14" s="111"/>
      <c r="AE14" s="42">
        <f t="shared" ref="AE14:AE79" si="5">AF14</f>
        <v>10559</v>
      </c>
      <c r="AF14" s="42">
        <f t="shared" ref="AF14:AF70" si="6">V14-AA14</f>
        <v>10559</v>
      </c>
      <c r="AG14" s="111"/>
      <c r="AH14" s="111"/>
      <c r="AI14" s="42">
        <f t="shared" ref="AI14:AI79" si="7">AJ14</f>
        <v>3300</v>
      </c>
      <c r="AJ14" s="42">
        <v>3300</v>
      </c>
      <c r="AK14" s="42">
        <v>3300</v>
      </c>
      <c r="AL14" s="111"/>
      <c r="AM14" s="111"/>
      <c r="AN14" s="2">
        <f t="shared" si="3"/>
        <v>0</v>
      </c>
      <c r="AP14" s="142">
        <f t="shared" si="1"/>
        <v>0</v>
      </c>
    </row>
    <row r="15" spans="1:42" s="2" customFormat="1" ht="38.25" x14ac:dyDescent="0.25">
      <c r="A15" s="46">
        <v>2</v>
      </c>
      <c r="B15" s="45" t="s">
        <v>363</v>
      </c>
      <c r="C15" s="41">
        <v>8012472</v>
      </c>
      <c r="D15" s="46" t="s">
        <v>119</v>
      </c>
      <c r="E15" s="40" t="s">
        <v>120</v>
      </c>
      <c r="F15" s="110"/>
      <c r="G15" s="110"/>
      <c r="H15" s="105" t="s">
        <v>364</v>
      </c>
      <c r="I15" s="102">
        <v>11400</v>
      </c>
      <c r="J15" s="57">
        <v>11400</v>
      </c>
      <c r="K15" s="42">
        <v>751</v>
      </c>
      <c r="L15" s="42">
        <v>751</v>
      </c>
      <c r="M15" s="42"/>
      <c r="N15" s="42"/>
      <c r="O15" s="42">
        <v>751</v>
      </c>
      <c r="P15" s="42">
        <v>751</v>
      </c>
      <c r="Q15" s="42">
        <v>751</v>
      </c>
      <c r="R15" s="42">
        <v>751</v>
      </c>
      <c r="S15" s="42">
        <v>751</v>
      </c>
      <c r="T15" s="42">
        <v>751</v>
      </c>
      <c r="U15" s="111"/>
      <c r="V15" s="57">
        <v>11400</v>
      </c>
      <c r="W15" s="112"/>
      <c r="X15" s="111"/>
      <c r="Y15" s="111"/>
      <c r="Z15" s="111"/>
      <c r="AA15" s="42">
        <v>751</v>
      </c>
      <c r="AB15" s="113"/>
      <c r="AC15" s="111"/>
      <c r="AD15" s="111"/>
      <c r="AE15" s="42">
        <f t="shared" si="5"/>
        <v>10649</v>
      </c>
      <c r="AF15" s="42">
        <f t="shared" si="6"/>
        <v>10649</v>
      </c>
      <c r="AG15" s="111"/>
      <c r="AH15" s="111"/>
      <c r="AI15" s="42">
        <f t="shared" si="7"/>
        <v>3400</v>
      </c>
      <c r="AJ15" s="42">
        <v>3400</v>
      </c>
      <c r="AK15" s="42">
        <v>3400</v>
      </c>
      <c r="AL15" s="111"/>
      <c r="AM15" s="111"/>
      <c r="AN15" s="2">
        <f t="shared" si="3"/>
        <v>0</v>
      </c>
      <c r="AP15" s="142">
        <f t="shared" si="1"/>
        <v>0</v>
      </c>
    </row>
    <row r="16" spans="1:42" s="2" customFormat="1" ht="38.25" x14ac:dyDescent="0.25">
      <c r="A16" s="46">
        <v>3</v>
      </c>
      <c r="B16" s="45" t="s">
        <v>365</v>
      </c>
      <c r="C16" s="41">
        <v>8012468</v>
      </c>
      <c r="D16" s="46" t="s">
        <v>119</v>
      </c>
      <c r="E16" s="40" t="s">
        <v>120</v>
      </c>
      <c r="F16" s="110"/>
      <c r="G16" s="110"/>
      <c r="H16" s="105" t="s">
        <v>366</v>
      </c>
      <c r="I16" s="102">
        <v>13200</v>
      </c>
      <c r="J16" s="57">
        <v>13000</v>
      </c>
      <c r="K16" s="42">
        <v>853</v>
      </c>
      <c r="L16" s="42">
        <v>853</v>
      </c>
      <c r="M16" s="42"/>
      <c r="N16" s="42"/>
      <c r="O16" s="42">
        <v>853</v>
      </c>
      <c r="P16" s="42">
        <v>853</v>
      </c>
      <c r="Q16" s="42">
        <v>853</v>
      </c>
      <c r="R16" s="42">
        <v>853</v>
      </c>
      <c r="S16" s="42">
        <v>853</v>
      </c>
      <c r="T16" s="42">
        <v>853</v>
      </c>
      <c r="U16" s="111"/>
      <c r="V16" s="57">
        <v>13000</v>
      </c>
      <c r="W16" s="112"/>
      <c r="X16" s="111"/>
      <c r="Y16" s="111"/>
      <c r="Z16" s="111"/>
      <c r="AA16" s="42">
        <v>853</v>
      </c>
      <c r="AB16" s="113"/>
      <c r="AC16" s="111"/>
      <c r="AD16" s="111"/>
      <c r="AE16" s="42">
        <f t="shared" si="5"/>
        <v>12147</v>
      </c>
      <c r="AF16" s="42">
        <f t="shared" si="6"/>
        <v>12147</v>
      </c>
      <c r="AG16" s="111"/>
      <c r="AH16" s="111"/>
      <c r="AI16" s="42">
        <v>4500</v>
      </c>
      <c r="AJ16" s="42">
        <v>4000</v>
      </c>
      <c r="AK16" s="42">
        <v>4500</v>
      </c>
      <c r="AL16" s="111"/>
      <c r="AM16" s="111"/>
      <c r="AN16" s="2">
        <f t="shared" si="3"/>
        <v>0</v>
      </c>
      <c r="AP16" s="142">
        <f t="shared" si="1"/>
        <v>0</v>
      </c>
    </row>
    <row r="17" spans="1:42" s="2" customFormat="1" ht="18.75" x14ac:dyDescent="0.25">
      <c r="A17" s="106" t="s">
        <v>58</v>
      </c>
      <c r="B17" s="151" t="s">
        <v>367</v>
      </c>
      <c r="C17" s="41"/>
      <c r="D17" s="152"/>
      <c r="E17" s="152"/>
      <c r="F17" s="110"/>
      <c r="G17" s="110"/>
      <c r="H17" s="105"/>
      <c r="I17" s="153">
        <f>SUM(I18:I21)</f>
        <v>73000</v>
      </c>
      <c r="J17" s="153">
        <f t="shared" ref="J17:AK17" si="8">SUM(J18:J21)</f>
        <v>69000</v>
      </c>
      <c r="K17" s="153">
        <f t="shared" si="8"/>
        <v>1632</v>
      </c>
      <c r="L17" s="153">
        <f t="shared" si="8"/>
        <v>1632</v>
      </c>
      <c r="M17" s="153">
        <f t="shared" si="8"/>
        <v>664</v>
      </c>
      <c r="N17" s="153">
        <f t="shared" si="8"/>
        <v>664</v>
      </c>
      <c r="O17" s="153">
        <f t="shared" si="8"/>
        <v>1632</v>
      </c>
      <c r="P17" s="153">
        <f t="shared" si="8"/>
        <v>1632</v>
      </c>
      <c r="Q17" s="153">
        <f t="shared" si="8"/>
        <v>1632</v>
      </c>
      <c r="R17" s="153">
        <f t="shared" si="8"/>
        <v>1632</v>
      </c>
      <c r="S17" s="153">
        <f t="shared" si="8"/>
        <v>1632</v>
      </c>
      <c r="T17" s="153">
        <f t="shared" si="8"/>
        <v>1632</v>
      </c>
      <c r="U17" s="153">
        <f t="shared" si="8"/>
        <v>0</v>
      </c>
      <c r="V17" s="153">
        <f t="shared" si="8"/>
        <v>69000</v>
      </c>
      <c r="W17" s="153">
        <f t="shared" si="8"/>
        <v>0</v>
      </c>
      <c r="X17" s="153">
        <f t="shared" si="8"/>
        <v>0</v>
      </c>
      <c r="Y17" s="153">
        <f t="shared" si="8"/>
        <v>0</v>
      </c>
      <c r="Z17" s="153">
        <f t="shared" si="8"/>
        <v>0</v>
      </c>
      <c r="AA17" s="153">
        <f t="shared" si="8"/>
        <v>1632</v>
      </c>
      <c r="AB17" s="153">
        <f t="shared" si="8"/>
        <v>0</v>
      </c>
      <c r="AC17" s="153">
        <f t="shared" si="8"/>
        <v>0</v>
      </c>
      <c r="AD17" s="153">
        <f t="shared" si="8"/>
        <v>0</v>
      </c>
      <c r="AE17" s="153">
        <f t="shared" si="8"/>
        <v>67368</v>
      </c>
      <c r="AF17" s="153">
        <f t="shared" si="8"/>
        <v>67368</v>
      </c>
      <c r="AG17" s="153">
        <f t="shared" si="8"/>
        <v>0</v>
      </c>
      <c r="AH17" s="153">
        <f t="shared" si="8"/>
        <v>0</v>
      </c>
      <c r="AI17" s="153">
        <f t="shared" si="8"/>
        <v>20700</v>
      </c>
      <c r="AJ17" s="153">
        <f t="shared" si="8"/>
        <v>20700</v>
      </c>
      <c r="AK17" s="153">
        <f t="shared" si="8"/>
        <v>20700</v>
      </c>
      <c r="AL17" s="153">
        <f>SUM(AL18:AL20)</f>
        <v>0</v>
      </c>
      <c r="AM17" s="111"/>
      <c r="AN17" s="2">
        <f t="shared" si="3"/>
        <v>0</v>
      </c>
      <c r="AP17" s="142">
        <f t="shared" si="1"/>
        <v>0</v>
      </c>
    </row>
    <row r="18" spans="1:42" s="2" customFormat="1" ht="38.25" x14ac:dyDescent="0.25">
      <c r="A18" s="46">
        <v>1</v>
      </c>
      <c r="B18" s="45" t="s">
        <v>368</v>
      </c>
      <c r="C18" s="41">
        <v>8022717</v>
      </c>
      <c r="D18" s="46" t="s">
        <v>274</v>
      </c>
      <c r="E18" s="40" t="s">
        <v>275</v>
      </c>
      <c r="F18" s="110"/>
      <c r="G18" s="110"/>
      <c r="H18" s="105" t="s">
        <v>369</v>
      </c>
      <c r="I18" s="102">
        <v>10000</v>
      </c>
      <c r="J18" s="57">
        <v>9000</v>
      </c>
      <c r="K18" s="42">
        <v>400</v>
      </c>
      <c r="L18" s="42">
        <v>400</v>
      </c>
      <c r="M18" s="42"/>
      <c r="N18" s="42"/>
      <c r="O18" s="42">
        <v>400</v>
      </c>
      <c r="P18" s="42">
        <v>400</v>
      </c>
      <c r="Q18" s="42">
        <v>400</v>
      </c>
      <c r="R18" s="42">
        <v>400</v>
      </c>
      <c r="S18" s="42">
        <v>400</v>
      </c>
      <c r="T18" s="42">
        <v>400</v>
      </c>
      <c r="U18" s="111"/>
      <c r="V18" s="57">
        <v>9000</v>
      </c>
      <c r="W18" s="112"/>
      <c r="X18" s="111"/>
      <c r="Y18" s="111"/>
      <c r="Z18" s="111"/>
      <c r="AA18" s="42">
        <v>400</v>
      </c>
      <c r="AB18" s="113"/>
      <c r="AC18" s="111"/>
      <c r="AD18" s="111"/>
      <c r="AE18" s="42">
        <f t="shared" si="5"/>
        <v>8600</v>
      </c>
      <c r="AF18" s="42">
        <f t="shared" si="6"/>
        <v>8600</v>
      </c>
      <c r="AG18" s="111"/>
      <c r="AH18" s="111"/>
      <c r="AI18" s="42">
        <f t="shared" si="7"/>
        <v>2700</v>
      </c>
      <c r="AJ18" s="42">
        <v>2700</v>
      </c>
      <c r="AK18" s="42">
        <v>2700</v>
      </c>
      <c r="AL18" s="111"/>
      <c r="AM18" s="111"/>
      <c r="AN18" s="2">
        <f t="shared" si="3"/>
        <v>0</v>
      </c>
      <c r="AP18" s="142">
        <f t="shared" si="1"/>
        <v>0</v>
      </c>
    </row>
    <row r="19" spans="1:42" s="2" customFormat="1" ht="38.25" x14ac:dyDescent="0.25">
      <c r="A19" s="46">
        <v>2</v>
      </c>
      <c r="B19" s="45" t="s">
        <v>370</v>
      </c>
      <c r="C19" s="41">
        <v>8022719</v>
      </c>
      <c r="D19" s="46" t="s">
        <v>274</v>
      </c>
      <c r="E19" s="40" t="s">
        <v>275</v>
      </c>
      <c r="F19" s="110"/>
      <c r="G19" s="110"/>
      <c r="H19" s="105" t="s">
        <v>371</v>
      </c>
      <c r="I19" s="102">
        <v>22000</v>
      </c>
      <c r="J19" s="57">
        <v>20000</v>
      </c>
      <c r="K19" s="42">
        <v>380</v>
      </c>
      <c r="L19" s="42">
        <v>380</v>
      </c>
      <c r="M19" s="42">
        <v>335</v>
      </c>
      <c r="N19" s="42">
        <v>335</v>
      </c>
      <c r="O19" s="42">
        <v>380</v>
      </c>
      <c r="P19" s="42">
        <v>380</v>
      </c>
      <c r="Q19" s="42">
        <v>380</v>
      </c>
      <c r="R19" s="42">
        <v>380</v>
      </c>
      <c r="S19" s="42">
        <v>380</v>
      </c>
      <c r="T19" s="42">
        <v>380</v>
      </c>
      <c r="U19" s="111"/>
      <c r="V19" s="57">
        <v>20000</v>
      </c>
      <c r="W19" s="112"/>
      <c r="X19" s="111"/>
      <c r="Y19" s="111"/>
      <c r="Z19" s="111"/>
      <c r="AA19" s="42">
        <v>380</v>
      </c>
      <c r="AB19" s="113"/>
      <c r="AC19" s="111"/>
      <c r="AD19" s="111"/>
      <c r="AE19" s="42">
        <f t="shared" si="5"/>
        <v>19620</v>
      </c>
      <c r="AF19" s="42">
        <f t="shared" si="6"/>
        <v>19620</v>
      </c>
      <c r="AG19" s="111"/>
      <c r="AH19" s="111"/>
      <c r="AI19" s="42">
        <f t="shared" si="7"/>
        <v>6000</v>
      </c>
      <c r="AJ19" s="42">
        <v>6000</v>
      </c>
      <c r="AK19" s="42">
        <v>6000</v>
      </c>
      <c r="AL19" s="111"/>
      <c r="AM19" s="111"/>
      <c r="AN19" s="2">
        <f t="shared" si="3"/>
        <v>0</v>
      </c>
      <c r="AP19" s="142">
        <f t="shared" si="1"/>
        <v>0</v>
      </c>
    </row>
    <row r="20" spans="1:42" s="2" customFormat="1" ht="38.25" x14ac:dyDescent="0.25">
      <c r="A20" s="46">
        <v>3</v>
      </c>
      <c r="B20" s="45" t="s">
        <v>372</v>
      </c>
      <c r="C20" s="41">
        <v>8022718</v>
      </c>
      <c r="D20" s="46" t="s">
        <v>274</v>
      </c>
      <c r="E20" s="40" t="s">
        <v>275</v>
      </c>
      <c r="F20" s="110"/>
      <c r="G20" s="110"/>
      <c r="H20" s="105" t="s">
        <v>373</v>
      </c>
      <c r="I20" s="102">
        <v>11000</v>
      </c>
      <c r="J20" s="57">
        <v>10000</v>
      </c>
      <c r="K20" s="42">
        <v>473</v>
      </c>
      <c r="L20" s="42">
        <v>473</v>
      </c>
      <c r="M20" s="42">
        <v>329</v>
      </c>
      <c r="N20" s="42">
        <v>329</v>
      </c>
      <c r="O20" s="42">
        <v>473</v>
      </c>
      <c r="P20" s="42">
        <v>473</v>
      </c>
      <c r="Q20" s="42">
        <v>473</v>
      </c>
      <c r="R20" s="42">
        <v>473</v>
      </c>
      <c r="S20" s="42">
        <v>473</v>
      </c>
      <c r="T20" s="42">
        <v>473</v>
      </c>
      <c r="U20" s="111"/>
      <c r="V20" s="57">
        <v>10000</v>
      </c>
      <c r="W20" s="112"/>
      <c r="X20" s="111"/>
      <c r="Y20" s="111"/>
      <c r="Z20" s="111"/>
      <c r="AA20" s="42">
        <v>473</v>
      </c>
      <c r="AB20" s="113"/>
      <c r="AC20" s="111"/>
      <c r="AD20" s="111"/>
      <c r="AE20" s="42">
        <f t="shared" si="5"/>
        <v>9527</v>
      </c>
      <c r="AF20" s="42">
        <f t="shared" si="6"/>
        <v>9527</v>
      </c>
      <c r="AG20" s="111"/>
      <c r="AH20" s="111"/>
      <c r="AI20" s="42">
        <f t="shared" si="7"/>
        <v>3000</v>
      </c>
      <c r="AJ20" s="42">
        <v>3000</v>
      </c>
      <c r="AK20" s="42">
        <v>3000</v>
      </c>
      <c r="AL20" s="111"/>
      <c r="AM20" s="111"/>
      <c r="AN20" s="2">
        <f t="shared" si="3"/>
        <v>0</v>
      </c>
      <c r="AP20" s="142">
        <f t="shared" si="1"/>
        <v>0</v>
      </c>
    </row>
    <row r="21" spans="1:42" s="2" customFormat="1" ht="38.25" x14ac:dyDescent="0.25">
      <c r="A21" s="46">
        <v>4</v>
      </c>
      <c r="B21" s="45" t="s">
        <v>374</v>
      </c>
      <c r="C21" s="41">
        <v>8022716</v>
      </c>
      <c r="D21" s="46" t="s">
        <v>274</v>
      </c>
      <c r="E21" s="40" t="s">
        <v>275</v>
      </c>
      <c r="F21" s="110"/>
      <c r="G21" s="110"/>
      <c r="H21" s="105" t="s">
        <v>375</v>
      </c>
      <c r="I21" s="102">
        <v>30000</v>
      </c>
      <c r="J21" s="57">
        <v>30000</v>
      </c>
      <c r="K21" s="42">
        <v>379</v>
      </c>
      <c r="L21" s="42">
        <v>379</v>
      </c>
      <c r="M21" s="42"/>
      <c r="N21" s="42"/>
      <c r="O21" s="42">
        <v>379</v>
      </c>
      <c r="P21" s="42">
        <v>379</v>
      </c>
      <c r="Q21" s="42">
        <v>379</v>
      </c>
      <c r="R21" s="42">
        <v>379</v>
      </c>
      <c r="S21" s="42">
        <v>379</v>
      </c>
      <c r="T21" s="42">
        <v>379</v>
      </c>
      <c r="U21" s="111"/>
      <c r="V21" s="57">
        <v>30000</v>
      </c>
      <c r="W21" s="112"/>
      <c r="X21" s="111"/>
      <c r="Y21" s="111"/>
      <c r="Z21" s="111"/>
      <c r="AA21" s="42">
        <v>379</v>
      </c>
      <c r="AB21" s="113"/>
      <c r="AC21" s="111"/>
      <c r="AD21" s="111"/>
      <c r="AE21" s="42">
        <f t="shared" si="5"/>
        <v>29621</v>
      </c>
      <c r="AF21" s="42">
        <f t="shared" si="6"/>
        <v>29621</v>
      </c>
      <c r="AG21" s="111"/>
      <c r="AH21" s="111"/>
      <c r="AI21" s="42">
        <f t="shared" si="7"/>
        <v>9000</v>
      </c>
      <c r="AJ21" s="42">
        <v>9000</v>
      </c>
      <c r="AK21" s="42">
        <v>9000</v>
      </c>
      <c r="AL21" s="111"/>
      <c r="AM21" s="111"/>
      <c r="AN21" s="2">
        <f t="shared" si="3"/>
        <v>0</v>
      </c>
      <c r="AP21" s="142">
        <f t="shared" si="1"/>
        <v>0</v>
      </c>
    </row>
    <row r="22" spans="1:42" s="2" customFormat="1" ht="18.75" x14ac:dyDescent="0.25">
      <c r="A22" s="106" t="s">
        <v>66</v>
      </c>
      <c r="B22" s="149" t="s">
        <v>376</v>
      </c>
      <c r="C22" s="41"/>
      <c r="D22" s="106"/>
      <c r="E22" s="106"/>
      <c r="F22" s="110"/>
      <c r="G22" s="110"/>
      <c r="H22" s="105"/>
      <c r="I22" s="154">
        <f t="shared" ref="I22:AK22" si="9">SUM(I23:I26)</f>
        <v>54600</v>
      </c>
      <c r="J22" s="154">
        <f t="shared" si="9"/>
        <v>52500</v>
      </c>
      <c r="K22" s="154">
        <f t="shared" si="9"/>
        <v>1035</v>
      </c>
      <c r="L22" s="154">
        <f t="shared" si="9"/>
        <v>1035</v>
      </c>
      <c r="M22" s="154">
        <f t="shared" si="9"/>
        <v>0</v>
      </c>
      <c r="N22" s="154">
        <f t="shared" si="9"/>
        <v>0</v>
      </c>
      <c r="O22" s="154">
        <f t="shared" si="9"/>
        <v>1035</v>
      </c>
      <c r="P22" s="154">
        <f t="shared" si="9"/>
        <v>1035</v>
      </c>
      <c r="Q22" s="154">
        <f t="shared" si="9"/>
        <v>1035</v>
      </c>
      <c r="R22" s="154">
        <f t="shared" si="9"/>
        <v>1035</v>
      </c>
      <c r="S22" s="154">
        <f t="shared" si="9"/>
        <v>1035</v>
      </c>
      <c r="T22" s="154">
        <f t="shared" si="9"/>
        <v>1035</v>
      </c>
      <c r="U22" s="154">
        <f t="shared" si="9"/>
        <v>0</v>
      </c>
      <c r="V22" s="154">
        <f t="shared" si="9"/>
        <v>52500</v>
      </c>
      <c r="W22" s="154">
        <f t="shared" si="9"/>
        <v>0</v>
      </c>
      <c r="X22" s="154">
        <f t="shared" si="9"/>
        <v>0</v>
      </c>
      <c r="Y22" s="154">
        <f t="shared" si="9"/>
        <v>0</v>
      </c>
      <c r="Z22" s="154">
        <f t="shared" si="9"/>
        <v>0</v>
      </c>
      <c r="AA22" s="154">
        <f t="shared" si="9"/>
        <v>1035</v>
      </c>
      <c r="AB22" s="154">
        <f t="shared" si="9"/>
        <v>0</v>
      </c>
      <c r="AC22" s="154">
        <f t="shared" si="9"/>
        <v>0</v>
      </c>
      <c r="AD22" s="154">
        <f t="shared" si="9"/>
        <v>0</v>
      </c>
      <c r="AE22" s="154">
        <f t="shared" si="9"/>
        <v>51465</v>
      </c>
      <c r="AF22" s="154">
        <f t="shared" si="9"/>
        <v>51465</v>
      </c>
      <c r="AG22" s="154">
        <f t="shared" si="9"/>
        <v>0</v>
      </c>
      <c r="AH22" s="154">
        <f t="shared" si="9"/>
        <v>0</v>
      </c>
      <c r="AI22" s="154">
        <f t="shared" si="9"/>
        <v>15800</v>
      </c>
      <c r="AJ22" s="154">
        <f t="shared" si="9"/>
        <v>15800</v>
      </c>
      <c r="AK22" s="154">
        <f t="shared" si="9"/>
        <v>15800</v>
      </c>
      <c r="AL22" s="111"/>
      <c r="AM22" s="111"/>
      <c r="AN22" s="2">
        <f t="shared" si="3"/>
        <v>0</v>
      </c>
      <c r="AP22" s="142">
        <f t="shared" si="1"/>
        <v>0</v>
      </c>
    </row>
    <row r="23" spans="1:42" s="2" customFormat="1" ht="38.25" x14ac:dyDescent="0.25">
      <c r="A23" s="46">
        <v>1</v>
      </c>
      <c r="B23" s="45" t="s">
        <v>377</v>
      </c>
      <c r="C23" s="41">
        <v>8060211</v>
      </c>
      <c r="D23" s="46" t="s">
        <v>95</v>
      </c>
      <c r="E23" s="40" t="s">
        <v>378</v>
      </c>
      <c r="F23" s="110"/>
      <c r="G23" s="110"/>
      <c r="H23" s="105" t="s">
        <v>379</v>
      </c>
      <c r="I23" s="102">
        <v>9900</v>
      </c>
      <c r="J23" s="57">
        <v>9000</v>
      </c>
      <c r="K23" s="42">
        <v>280</v>
      </c>
      <c r="L23" s="42">
        <v>280</v>
      </c>
      <c r="M23" s="42"/>
      <c r="N23" s="42"/>
      <c r="O23" s="42">
        <v>280</v>
      </c>
      <c r="P23" s="42">
        <v>280</v>
      </c>
      <c r="Q23" s="42">
        <v>280</v>
      </c>
      <c r="R23" s="42">
        <v>280</v>
      </c>
      <c r="S23" s="42">
        <v>280</v>
      </c>
      <c r="T23" s="42">
        <v>280</v>
      </c>
      <c r="U23" s="111"/>
      <c r="V23" s="57">
        <v>9000</v>
      </c>
      <c r="W23" s="112"/>
      <c r="X23" s="111"/>
      <c r="Y23" s="111"/>
      <c r="Z23" s="111"/>
      <c r="AA23" s="42">
        <v>280</v>
      </c>
      <c r="AB23" s="113"/>
      <c r="AC23" s="111"/>
      <c r="AD23" s="111"/>
      <c r="AE23" s="42">
        <f t="shared" si="5"/>
        <v>8720</v>
      </c>
      <c r="AF23" s="42">
        <f t="shared" si="6"/>
        <v>8720</v>
      </c>
      <c r="AG23" s="111"/>
      <c r="AH23" s="111"/>
      <c r="AI23" s="42">
        <f t="shared" si="7"/>
        <v>2700</v>
      </c>
      <c r="AJ23" s="42">
        <v>2700</v>
      </c>
      <c r="AK23" s="42">
        <v>2700</v>
      </c>
      <c r="AL23" s="111"/>
      <c r="AM23" s="111"/>
      <c r="AN23" s="2">
        <f t="shared" si="3"/>
        <v>0</v>
      </c>
      <c r="AP23" s="142">
        <f t="shared" si="1"/>
        <v>0</v>
      </c>
    </row>
    <row r="24" spans="1:42" s="2" customFormat="1" ht="38.25" x14ac:dyDescent="0.25">
      <c r="A24" s="46">
        <v>2</v>
      </c>
      <c r="B24" s="45" t="s">
        <v>380</v>
      </c>
      <c r="C24" s="41">
        <v>8060212</v>
      </c>
      <c r="D24" s="46" t="s">
        <v>95</v>
      </c>
      <c r="E24" s="40" t="s">
        <v>378</v>
      </c>
      <c r="F24" s="110"/>
      <c r="G24" s="110"/>
      <c r="H24" s="105" t="s">
        <v>381</v>
      </c>
      <c r="I24" s="102">
        <v>9250</v>
      </c>
      <c r="J24" s="57">
        <v>8500</v>
      </c>
      <c r="K24" s="42">
        <v>266</v>
      </c>
      <c r="L24" s="42">
        <v>266</v>
      </c>
      <c r="M24" s="42"/>
      <c r="N24" s="42"/>
      <c r="O24" s="42">
        <v>266</v>
      </c>
      <c r="P24" s="42">
        <v>266</v>
      </c>
      <c r="Q24" s="42">
        <v>266</v>
      </c>
      <c r="R24" s="42">
        <v>266</v>
      </c>
      <c r="S24" s="42">
        <v>266</v>
      </c>
      <c r="T24" s="42">
        <v>266</v>
      </c>
      <c r="U24" s="111"/>
      <c r="V24" s="57">
        <v>8500</v>
      </c>
      <c r="W24" s="112"/>
      <c r="X24" s="111"/>
      <c r="Y24" s="111"/>
      <c r="Z24" s="111"/>
      <c r="AA24" s="42">
        <v>266</v>
      </c>
      <c r="AB24" s="113"/>
      <c r="AC24" s="111"/>
      <c r="AD24" s="111"/>
      <c r="AE24" s="42">
        <f t="shared" si="5"/>
        <v>8234</v>
      </c>
      <c r="AF24" s="42">
        <f t="shared" si="6"/>
        <v>8234</v>
      </c>
      <c r="AG24" s="111"/>
      <c r="AH24" s="111"/>
      <c r="AI24" s="42">
        <f t="shared" si="7"/>
        <v>2600</v>
      </c>
      <c r="AJ24" s="42">
        <v>2600</v>
      </c>
      <c r="AK24" s="42">
        <v>2600</v>
      </c>
      <c r="AL24" s="111"/>
      <c r="AM24" s="111"/>
      <c r="AN24" s="2">
        <f t="shared" si="3"/>
        <v>0</v>
      </c>
      <c r="AP24" s="142">
        <f t="shared" si="1"/>
        <v>0</v>
      </c>
    </row>
    <row r="25" spans="1:42" s="2" customFormat="1" ht="38.25" x14ac:dyDescent="0.25">
      <c r="A25" s="46">
        <v>3</v>
      </c>
      <c r="B25" s="45" t="s">
        <v>382</v>
      </c>
      <c r="C25" s="41">
        <v>8059902</v>
      </c>
      <c r="D25" s="46" t="s">
        <v>95</v>
      </c>
      <c r="E25" s="40" t="s">
        <v>378</v>
      </c>
      <c r="F25" s="110"/>
      <c r="G25" s="110"/>
      <c r="H25" s="105" t="s">
        <v>383</v>
      </c>
      <c r="I25" s="102">
        <v>5450</v>
      </c>
      <c r="J25" s="57">
        <v>5000</v>
      </c>
      <c r="K25" s="42">
        <v>289</v>
      </c>
      <c r="L25" s="42">
        <v>289</v>
      </c>
      <c r="M25" s="42"/>
      <c r="N25" s="42"/>
      <c r="O25" s="42">
        <v>289</v>
      </c>
      <c r="P25" s="42">
        <v>289</v>
      </c>
      <c r="Q25" s="42">
        <v>289</v>
      </c>
      <c r="R25" s="42">
        <v>289</v>
      </c>
      <c r="S25" s="42">
        <v>289</v>
      </c>
      <c r="T25" s="42">
        <v>289</v>
      </c>
      <c r="U25" s="111"/>
      <c r="V25" s="57">
        <v>5000</v>
      </c>
      <c r="W25" s="112"/>
      <c r="X25" s="111"/>
      <c r="Y25" s="111"/>
      <c r="Z25" s="111"/>
      <c r="AA25" s="42">
        <v>289</v>
      </c>
      <c r="AB25" s="113"/>
      <c r="AC25" s="111"/>
      <c r="AD25" s="111"/>
      <c r="AE25" s="42">
        <f t="shared" si="5"/>
        <v>4711</v>
      </c>
      <c r="AF25" s="42">
        <f t="shared" si="6"/>
        <v>4711</v>
      </c>
      <c r="AG25" s="111"/>
      <c r="AH25" s="111"/>
      <c r="AI25" s="42">
        <f t="shared" si="7"/>
        <v>1500</v>
      </c>
      <c r="AJ25" s="42">
        <v>1500</v>
      </c>
      <c r="AK25" s="42">
        <v>1500</v>
      </c>
      <c r="AL25" s="111"/>
      <c r="AM25" s="111"/>
      <c r="AN25" s="2">
        <f t="shared" si="3"/>
        <v>0</v>
      </c>
      <c r="AP25" s="142">
        <f t="shared" si="1"/>
        <v>0</v>
      </c>
    </row>
    <row r="26" spans="1:42" s="2" customFormat="1" ht="38.25" x14ac:dyDescent="0.25">
      <c r="A26" s="46">
        <v>4</v>
      </c>
      <c r="B26" s="45" t="s">
        <v>384</v>
      </c>
      <c r="C26" s="41">
        <v>8010621</v>
      </c>
      <c r="D26" s="46" t="s">
        <v>95</v>
      </c>
      <c r="E26" s="40" t="s">
        <v>378</v>
      </c>
      <c r="F26" s="110"/>
      <c r="G26" s="110"/>
      <c r="H26" s="105" t="s">
        <v>385</v>
      </c>
      <c r="I26" s="102">
        <v>30000</v>
      </c>
      <c r="J26" s="57">
        <v>30000</v>
      </c>
      <c r="K26" s="42">
        <v>200</v>
      </c>
      <c r="L26" s="42">
        <v>200</v>
      </c>
      <c r="M26" s="42"/>
      <c r="N26" s="42"/>
      <c r="O26" s="42">
        <v>200</v>
      </c>
      <c r="P26" s="42">
        <v>200</v>
      </c>
      <c r="Q26" s="42">
        <v>200</v>
      </c>
      <c r="R26" s="42">
        <v>200</v>
      </c>
      <c r="S26" s="42">
        <v>200</v>
      </c>
      <c r="T26" s="42">
        <v>200</v>
      </c>
      <c r="U26" s="111"/>
      <c r="V26" s="57">
        <v>30000</v>
      </c>
      <c r="W26" s="112"/>
      <c r="X26" s="111"/>
      <c r="Y26" s="111"/>
      <c r="Z26" s="111"/>
      <c r="AA26" s="42">
        <v>200</v>
      </c>
      <c r="AB26" s="113"/>
      <c r="AC26" s="111"/>
      <c r="AD26" s="111"/>
      <c r="AE26" s="42">
        <f t="shared" si="5"/>
        <v>29800</v>
      </c>
      <c r="AF26" s="42">
        <f t="shared" si="6"/>
        <v>29800</v>
      </c>
      <c r="AG26" s="111"/>
      <c r="AH26" s="111"/>
      <c r="AI26" s="42">
        <f t="shared" si="7"/>
        <v>9000</v>
      </c>
      <c r="AJ26" s="42">
        <v>9000</v>
      </c>
      <c r="AK26" s="42">
        <v>9000</v>
      </c>
      <c r="AL26" s="111"/>
      <c r="AM26" s="111"/>
      <c r="AN26" s="2">
        <f t="shared" si="3"/>
        <v>0</v>
      </c>
      <c r="AP26" s="142">
        <f t="shared" si="1"/>
        <v>0</v>
      </c>
    </row>
    <row r="27" spans="1:42" s="2" customFormat="1" ht="18.75" x14ac:dyDescent="0.25">
      <c r="A27" s="106" t="s">
        <v>72</v>
      </c>
      <c r="B27" s="151" t="s">
        <v>386</v>
      </c>
      <c r="C27" s="41"/>
      <c r="D27" s="152"/>
      <c r="E27" s="152"/>
      <c r="F27" s="110"/>
      <c r="G27" s="110"/>
      <c r="H27" s="105"/>
      <c r="I27" s="153">
        <f>SUM(I28:I32)</f>
        <v>42200</v>
      </c>
      <c r="J27" s="153">
        <f t="shared" ref="J27:AJ27" si="10">SUM(J28:J32)</f>
        <v>40500</v>
      </c>
      <c r="K27" s="153">
        <f t="shared" si="10"/>
        <v>1841</v>
      </c>
      <c r="L27" s="153">
        <f t="shared" si="10"/>
        <v>1841</v>
      </c>
      <c r="M27" s="153">
        <f t="shared" si="10"/>
        <v>905</v>
      </c>
      <c r="N27" s="153">
        <f t="shared" si="10"/>
        <v>905</v>
      </c>
      <c r="O27" s="153">
        <f t="shared" si="10"/>
        <v>1841</v>
      </c>
      <c r="P27" s="153">
        <f t="shared" si="10"/>
        <v>1841</v>
      </c>
      <c r="Q27" s="153">
        <f t="shared" si="10"/>
        <v>1841</v>
      </c>
      <c r="R27" s="153">
        <f t="shared" si="10"/>
        <v>1841</v>
      </c>
      <c r="S27" s="153">
        <f t="shared" si="10"/>
        <v>1841</v>
      </c>
      <c r="T27" s="153">
        <f t="shared" si="10"/>
        <v>1841</v>
      </c>
      <c r="U27" s="153">
        <f t="shared" si="10"/>
        <v>0</v>
      </c>
      <c r="V27" s="153">
        <f t="shared" si="10"/>
        <v>40500</v>
      </c>
      <c r="W27" s="153">
        <f t="shared" si="10"/>
        <v>0</v>
      </c>
      <c r="X27" s="153">
        <f t="shared" si="10"/>
        <v>0</v>
      </c>
      <c r="Y27" s="153">
        <f t="shared" si="10"/>
        <v>0</v>
      </c>
      <c r="Z27" s="153">
        <f t="shared" si="10"/>
        <v>0</v>
      </c>
      <c r="AA27" s="153">
        <f t="shared" si="10"/>
        <v>1841</v>
      </c>
      <c r="AB27" s="153">
        <f t="shared" si="10"/>
        <v>0</v>
      </c>
      <c r="AC27" s="153">
        <f t="shared" si="10"/>
        <v>0</v>
      </c>
      <c r="AD27" s="153">
        <f t="shared" si="10"/>
        <v>0</v>
      </c>
      <c r="AE27" s="153">
        <f t="shared" si="10"/>
        <v>38659</v>
      </c>
      <c r="AF27" s="153">
        <f t="shared" si="10"/>
        <v>38659</v>
      </c>
      <c r="AG27" s="153">
        <f t="shared" si="10"/>
        <v>0</v>
      </c>
      <c r="AH27" s="153">
        <f t="shared" si="10"/>
        <v>0</v>
      </c>
      <c r="AI27" s="153">
        <f t="shared" si="10"/>
        <v>12400</v>
      </c>
      <c r="AJ27" s="153">
        <f t="shared" si="10"/>
        <v>12400</v>
      </c>
      <c r="AK27" s="153">
        <f>SUM(AK28:AK32)</f>
        <v>12400</v>
      </c>
      <c r="AL27" s="111"/>
      <c r="AM27" s="111"/>
      <c r="AN27" s="2">
        <f t="shared" si="3"/>
        <v>0</v>
      </c>
      <c r="AP27" s="142">
        <f t="shared" si="1"/>
        <v>0</v>
      </c>
    </row>
    <row r="28" spans="1:42" s="2" customFormat="1" ht="38.25" x14ac:dyDescent="0.25">
      <c r="A28" s="46">
        <v>1</v>
      </c>
      <c r="B28" s="45" t="s">
        <v>387</v>
      </c>
      <c r="C28" s="41">
        <v>8016845</v>
      </c>
      <c r="D28" s="46" t="s">
        <v>292</v>
      </c>
      <c r="E28" s="40" t="s">
        <v>293</v>
      </c>
      <c r="F28" s="110"/>
      <c r="G28" s="110"/>
      <c r="H28" s="105" t="s">
        <v>388</v>
      </c>
      <c r="I28" s="102">
        <v>8500</v>
      </c>
      <c r="J28" s="57">
        <v>8500</v>
      </c>
      <c r="K28" s="42">
        <v>513</v>
      </c>
      <c r="L28" s="42">
        <v>513</v>
      </c>
      <c r="M28" s="42">
        <v>42</v>
      </c>
      <c r="N28" s="42">
        <v>42</v>
      </c>
      <c r="O28" s="42">
        <v>513</v>
      </c>
      <c r="P28" s="42">
        <v>513</v>
      </c>
      <c r="Q28" s="42">
        <v>513</v>
      </c>
      <c r="R28" s="42">
        <v>513</v>
      </c>
      <c r="S28" s="42">
        <v>513</v>
      </c>
      <c r="T28" s="42">
        <v>513</v>
      </c>
      <c r="U28" s="111"/>
      <c r="V28" s="57">
        <v>8500</v>
      </c>
      <c r="W28" s="112"/>
      <c r="X28" s="111"/>
      <c r="Y28" s="111"/>
      <c r="Z28" s="111"/>
      <c r="AA28" s="42">
        <v>513</v>
      </c>
      <c r="AB28" s="113"/>
      <c r="AC28" s="111"/>
      <c r="AD28" s="111"/>
      <c r="AE28" s="42">
        <f t="shared" si="5"/>
        <v>7987</v>
      </c>
      <c r="AF28" s="42">
        <f t="shared" si="6"/>
        <v>7987</v>
      </c>
      <c r="AG28" s="111"/>
      <c r="AH28" s="111"/>
      <c r="AI28" s="42">
        <f t="shared" si="7"/>
        <v>2600</v>
      </c>
      <c r="AJ28" s="42">
        <v>2600</v>
      </c>
      <c r="AK28" s="42">
        <v>2600</v>
      </c>
      <c r="AL28" s="111"/>
      <c r="AM28" s="111"/>
      <c r="AN28" s="2">
        <f t="shared" si="3"/>
        <v>0</v>
      </c>
      <c r="AP28" s="142">
        <f t="shared" si="1"/>
        <v>0</v>
      </c>
    </row>
    <row r="29" spans="1:42" s="2" customFormat="1" ht="38.25" x14ac:dyDescent="0.25">
      <c r="A29" s="46">
        <v>2</v>
      </c>
      <c r="B29" s="45" t="s">
        <v>389</v>
      </c>
      <c r="C29" s="41">
        <v>8016843</v>
      </c>
      <c r="D29" s="46" t="s">
        <v>292</v>
      </c>
      <c r="E29" s="40" t="s">
        <v>293</v>
      </c>
      <c r="F29" s="110"/>
      <c r="G29" s="110"/>
      <c r="H29" s="105" t="s">
        <v>390</v>
      </c>
      <c r="I29" s="102">
        <v>9400</v>
      </c>
      <c r="J29" s="57">
        <v>8500</v>
      </c>
      <c r="K29" s="42">
        <v>285</v>
      </c>
      <c r="L29" s="42">
        <v>285</v>
      </c>
      <c r="M29" s="42">
        <v>248</v>
      </c>
      <c r="N29" s="42">
        <v>248</v>
      </c>
      <c r="O29" s="42">
        <v>285</v>
      </c>
      <c r="P29" s="42">
        <v>285</v>
      </c>
      <c r="Q29" s="42">
        <v>285</v>
      </c>
      <c r="R29" s="42">
        <v>285</v>
      </c>
      <c r="S29" s="42">
        <v>285</v>
      </c>
      <c r="T29" s="42">
        <v>285</v>
      </c>
      <c r="U29" s="111"/>
      <c r="V29" s="57">
        <v>8500</v>
      </c>
      <c r="W29" s="112"/>
      <c r="X29" s="111"/>
      <c r="Y29" s="111"/>
      <c r="Z29" s="111"/>
      <c r="AA29" s="42">
        <v>285</v>
      </c>
      <c r="AB29" s="113"/>
      <c r="AC29" s="111"/>
      <c r="AD29" s="111"/>
      <c r="AE29" s="42">
        <f t="shared" si="5"/>
        <v>8215</v>
      </c>
      <c r="AF29" s="42">
        <f t="shared" si="6"/>
        <v>8215</v>
      </c>
      <c r="AG29" s="111"/>
      <c r="AH29" s="111"/>
      <c r="AI29" s="42">
        <f t="shared" si="7"/>
        <v>2600</v>
      </c>
      <c r="AJ29" s="42">
        <v>2600</v>
      </c>
      <c r="AK29" s="42">
        <v>2600</v>
      </c>
      <c r="AL29" s="111"/>
      <c r="AM29" s="111"/>
      <c r="AN29" s="2">
        <f t="shared" si="3"/>
        <v>0</v>
      </c>
      <c r="AP29" s="142">
        <f t="shared" si="1"/>
        <v>0</v>
      </c>
    </row>
    <row r="30" spans="1:42" s="2" customFormat="1" ht="38.25" x14ac:dyDescent="0.25">
      <c r="A30" s="46">
        <v>3</v>
      </c>
      <c r="B30" s="45" t="s">
        <v>391</v>
      </c>
      <c r="C30" s="41">
        <v>8016842</v>
      </c>
      <c r="D30" s="46" t="s">
        <v>292</v>
      </c>
      <c r="E30" s="40" t="s">
        <v>293</v>
      </c>
      <c r="F30" s="110"/>
      <c r="G30" s="110"/>
      <c r="H30" s="105" t="s">
        <v>392</v>
      </c>
      <c r="I30" s="102">
        <v>6400</v>
      </c>
      <c r="J30" s="57">
        <v>6400</v>
      </c>
      <c r="K30" s="42">
        <v>321</v>
      </c>
      <c r="L30" s="42">
        <v>321</v>
      </c>
      <c r="M30" s="42"/>
      <c r="N30" s="42"/>
      <c r="O30" s="42">
        <v>321</v>
      </c>
      <c r="P30" s="42">
        <v>321</v>
      </c>
      <c r="Q30" s="42">
        <v>321</v>
      </c>
      <c r="R30" s="42">
        <v>321</v>
      </c>
      <c r="S30" s="42">
        <v>321</v>
      </c>
      <c r="T30" s="42">
        <v>321</v>
      </c>
      <c r="U30" s="111"/>
      <c r="V30" s="57">
        <v>6400</v>
      </c>
      <c r="W30" s="112"/>
      <c r="X30" s="111"/>
      <c r="Y30" s="111"/>
      <c r="Z30" s="111"/>
      <c r="AA30" s="42">
        <v>321</v>
      </c>
      <c r="AB30" s="113"/>
      <c r="AC30" s="111"/>
      <c r="AD30" s="111"/>
      <c r="AE30" s="42">
        <f t="shared" si="5"/>
        <v>6079</v>
      </c>
      <c r="AF30" s="42">
        <f t="shared" si="6"/>
        <v>6079</v>
      </c>
      <c r="AG30" s="111"/>
      <c r="AH30" s="111"/>
      <c r="AI30" s="42">
        <f t="shared" si="7"/>
        <v>2000</v>
      </c>
      <c r="AJ30" s="42">
        <v>2000</v>
      </c>
      <c r="AK30" s="42">
        <v>2000</v>
      </c>
      <c r="AL30" s="111"/>
      <c r="AM30" s="111"/>
      <c r="AN30" s="2">
        <f t="shared" si="3"/>
        <v>0</v>
      </c>
      <c r="AP30" s="142">
        <f t="shared" si="1"/>
        <v>0</v>
      </c>
    </row>
    <row r="31" spans="1:42" s="2" customFormat="1" ht="38.25" x14ac:dyDescent="0.25">
      <c r="A31" s="46">
        <v>4</v>
      </c>
      <c r="B31" s="45" t="s">
        <v>393</v>
      </c>
      <c r="C31" s="41">
        <v>8016844</v>
      </c>
      <c r="D31" s="46" t="s">
        <v>292</v>
      </c>
      <c r="E31" s="40" t="s">
        <v>293</v>
      </c>
      <c r="F31" s="110"/>
      <c r="G31" s="110"/>
      <c r="H31" s="105" t="s">
        <v>394</v>
      </c>
      <c r="I31" s="102">
        <v>9300</v>
      </c>
      <c r="J31" s="57">
        <v>8500</v>
      </c>
      <c r="K31" s="42">
        <v>391</v>
      </c>
      <c r="L31" s="42">
        <v>391</v>
      </c>
      <c r="M31" s="42">
        <v>331</v>
      </c>
      <c r="N31" s="42">
        <v>331</v>
      </c>
      <c r="O31" s="42">
        <v>391</v>
      </c>
      <c r="P31" s="42">
        <v>391</v>
      </c>
      <c r="Q31" s="42">
        <v>391</v>
      </c>
      <c r="R31" s="42">
        <v>391</v>
      </c>
      <c r="S31" s="42">
        <v>391</v>
      </c>
      <c r="T31" s="42">
        <v>391</v>
      </c>
      <c r="U31" s="111"/>
      <c r="V31" s="57">
        <v>8500</v>
      </c>
      <c r="W31" s="112"/>
      <c r="X31" s="111"/>
      <c r="Y31" s="111"/>
      <c r="Z31" s="111"/>
      <c r="AA31" s="42">
        <v>391</v>
      </c>
      <c r="AB31" s="113"/>
      <c r="AC31" s="111"/>
      <c r="AD31" s="111"/>
      <c r="AE31" s="42">
        <f t="shared" si="5"/>
        <v>8109</v>
      </c>
      <c r="AF31" s="42">
        <f t="shared" si="6"/>
        <v>8109</v>
      </c>
      <c r="AG31" s="111"/>
      <c r="AH31" s="111"/>
      <c r="AI31" s="42">
        <f t="shared" si="7"/>
        <v>2600</v>
      </c>
      <c r="AJ31" s="42">
        <v>2600</v>
      </c>
      <c r="AK31" s="42">
        <v>2600</v>
      </c>
      <c r="AL31" s="111"/>
      <c r="AM31" s="111"/>
      <c r="AN31" s="2">
        <f t="shared" si="3"/>
        <v>0</v>
      </c>
      <c r="AP31" s="142">
        <f t="shared" si="1"/>
        <v>0</v>
      </c>
    </row>
    <row r="32" spans="1:42" s="2" customFormat="1" ht="38.25" x14ac:dyDescent="0.25">
      <c r="A32" s="46">
        <v>5</v>
      </c>
      <c r="B32" s="45" t="s">
        <v>395</v>
      </c>
      <c r="C32" s="41">
        <v>8016841</v>
      </c>
      <c r="D32" s="46" t="s">
        <v>292</v>
      </c>
      <c r="E32" s="40" t="s">
        <v>293</v>
      </c>
      <c r="F32" s="110"/>
      <c r="G32" s="110"/>
      <c r="H32" s="105" t="s">
        <v>396</v>
      </c>
      <c r="I32" s="102">
        <v>8600</v>
      </c>
      <c r="J32" s="57">
        <v>8600</v>
      </c>
      <c r="K32" s="42">
        <v>331</v>
      </c>
      <c r="L32" s="42">
        <v>331</v>
      </c>
      <c r="M32" s="42">
        <v>284</v>
      </c>
      <c r="N32" s="42">
        <v>284</v>
      </c>
      <c r="O32" s="42">
        <v>331</v>
      </c>
      <c r="P32" s="42">
        <v>331</v>
      </c>
      <c r="Q32" s="42">
        <v>331</v>
      </c>
      <c r="R32" s="42">
        <v>331</v>
      </c>
      <c r="S32" s="42">
        <v>331</v>
      </c>
      <c r="T32" s="42">
        <v>331</v>
      </c>
      <c r="U32" s="111"/>
      <c r="V32" s="57">
        <v>8600</v>
      </c>
      <c r="W32" s="112"/>
      <c r="X32" s="111"/>
      <c r="Y32" s="111"/>
      <c r="Z32" s="111"/>
      <c r="AA32" s="42">
        <v>331</v>
      </c>
      <c r="AB32" s="113"/>
      <c r="AC32" s="111"/>
      <c r="AD32" s="111"/>
      <c r="AE32" s="42">
        <f t="shared" si="5"/>
        <v>8269</v>
      </c>
      <c r="AF32" s="42">
        <f t="shared" si="6"/>
        <v>8269</v>
      </c>
      <c r="AG32" s="111"/>
      <c r="AH32" s="111"/>
      <c r="AI32" s="42">
        <f t="shared" si="7"/>
        <v>2600</v>
      </c>
      <c r="AJ32" s="42">
        <v>2600</v>
      </c>
      <c r="AK32" s="42">
        <v>2600</v>
      </c>
      <c r="AL32" s="111"/>
      <c r="AM32" s="111"/>
      <c r="AN32" s="2">
        <f t="shared" si="3"/>
        <v>0</v>
      </c>
      <c r="AP32" s="142">
        <f t="shared" si="1"/>
        <v>0</v>
      </c>
    </row>
    <row r="33" spans="1:42" s="2" customFormat="1" ht="18.75" x14ac:dyDescent="0.25">
      <c r="A33" s="106" t="s">
        <v>79</v>
      </c>
      <c r="B33" s="151" t="s">
        <v>397</v>
      </c>
      <c r="C33" s="41"/>
      <c r="D33" s="152"/>
      <c r="E33" s="152"/>
      <c r="F33" s="110"/>
      <c r="G33" s="110"/>
      <c r="H33" s="105"/>
      <c r="I33" s="153">
        <f t="shared" ref="I33:AK33" si="11">SUM(I34:I36)</f>
        <v>26000</v>
      </c>
      <c r="J33" s="153">
        <f t="shared" si="11"/>
        <v>24000</v>
      </c>
      <c r="K33" s="153">
        <f t="shared" si="11"/>
        <v>1163</v>
      </c>
      <c r="L33" s="153">
        <f t="shared" si="11"/>
        <v>1163</v>
      </c>
      <c r="M33" s="153">
        <f t="shared" si="11"/>
        <v>0</v>
      </c>
      <c r="N33" s="153">
        <f t="shared" si="11"/>
        <v>0</v>
      </c>
      <c r="O33" s="153">
        <f t="shared" si="11"/>
        <v>1163</v>
      </c>
      <c r="P33" s="153">
        <f t="shared" si="11"/>
        <v>1163</v>
      </c>
      <c r="Q33" s="153">
        <f t="shared" si="11"/>
        <v>1163</v>
      </c>
      <c r="R33" s="153">
        <f t="shared" si="11"/>
        <v>1163</v>
      </c>
      <c r="S33" s="153">
        <f t="shared" si="11"/>
        <v>1163</v>
      </c>
      <c r="T33" s="153">
        <f t="shared" si="11"/>
        <v>1163</v>
      </c>
      <c r="U33" s="153">
        <f t="shared" si="11"/>
        <v>0</v>
      </c>
      <c r="V33" s="153">
        <f t="shared" si="11"/>
        <v>24000</v>
      </c>
      <c r="W33" s="153">
        <f t="shared" si="11"/>
        <v>0</v>
      </c>
      <c r="X33" s="153">
        <f t="shared" si="11"/>
        <v>0</v>
      </c>
      <c r="Y33" s="153">
        <f t="shared" si="11"/>
        <v>0</v>
      </c>
      <c r="Z33" s="153">
        <f t="shared" si="11"/>
        <v>0</v>
      </c>
      <c r="AA33" s="153">
        <f t="shared" si="11"/>
        <v>1163</v>
      </c>
      <c r="AB33" s="153">
        <f t="shared" si="11"/>
        <v>0</v>
      </c>
      <c r="AC33" s="153">
        <f t="shared" si="11"/>
        <v>0</v>
      </c>
      <c r="AD33" s="153">
        <f t="shared" si="11"/>
        <v>0</v>
      </c>
      <c r="AE33" s="153">
        <f t="shared" si="11"/>
        <v>22837</v>
      </c>
      <c r="AF33" s="153">
        <f t="shared" si="11"/>
        <v>22837</v>
      </c>
      <c r="AG33" s="153">
        <f t="shared" si="11"/>
        <v>0</v>
      </c>
      <c r="AH33" s="153">
        <f t="shared" si="11"/>
        <v>0</v>
      </c>
      <c r="AI33" s="153">
        <f t="shared" si="11"/>
        <v>7200</v>
      </c>
      <c r="AJ33" s="153">
        <f t="shared" si="11"/>
        <v>7200</v>
      </c>
      <c r="AK33" s="153">
        <f t="shared" si="11"/>
        <v>7200</v>
      </c>
      <c r="AL33" s="111"/>
      <c r="AM33" s="111"/>
      <c r="AN33" s="2">
        <f t="shared" si="3"/>
        <v>0</v>
      </c>
      <c r="AP33" s="142">
        <f t="shared" si="1"/>
        <v>0</v>
      </c>
    </row>
    <row r="34" spans="1:42" s="2" customFormat="1" ht="38.25" x14ac:dyDescent="0.25">
      <c r="A34" s="46">
        <v>1</v>
      </c>
      <c r="B34" s="45" t="s">
        <v>398</v>
      </c>
      <c r="C34" s="41">
        <v>8034992</v>
      </c>
      <c r="D34" s="46" t="s">
        <v>56</v>
      </c>
      <c r="E34" s="40" t="s">
        <v>301</v>
      </c>
      <c r="F34" s="110"/>
      <c r="G34" s="110"/>
      <c r="H34" s="105" t="s">
        <v>399</v>
      </c>
      <c r="I34" s="102">
        <v>12000</v>
      </c>
      <c r="J34" s="57">
        <v>10000</v>
      </c>
      <c r="K34" s="42">
        <v>479</v>
      </c>
      <c r="L34" s="42">
        <v>479</v>
      </c>
      <c r="M34" s="42"/>
      <c r="N34" s="42"/>
      <c r="O34" s="42">
        <v>479</v>
      </c>
      <c r="P34" s="42">
        <v>479</v>
      </c>
      <c r="Q34" s="42">
        <v>479</v>
      </c>
      <c r="R34" s="42">
        <v>479</v>
      </c>
      <c r="S34" s="42">
        <v>479</v>
      </c>
      <c r="T34" s="42">
        <v>479</v>
      </c>
      <c r="U34" s="111"/>
      <c r="V34" s="57">
        <v>10000</v>
      </c>
      <c r="W34" s="112"/>
      <c r="X34" s="111"/>
      <c r="Y34" s="111"/>
      <c r="Z34" s="111"/>
      <c r="AA34" s="42">
        <v>479</v>
      </c>
      <c r="AB34" s="113"/>
      <c r="AC34" s="111"/>
      <c r="AD34" s="111"/>
      <c r="AE34" s="42">
        <f t="shared" si="5"/>
        <v>9521</v>
      </c>
      <c r="AF34" s="42">
        <f t="shared" si="6"/>
        <v>9521</v>
      </c>
      <c r="AG34" s="111"/>
      <c r="AH34" s="111"/>
      <c r="AI34" s="42">
        <f t="shared" si="7"/>
        <v>3000</v>
      </c>
      <c r="AJ34" s="42">
        <v>3000</v>
      </c>
      <c r="AK34" s="42">
        <v>3000</v>
      </c>
      <c r="AL34" s="111"/>
      <c r="AM34" s="111"/>
      <c r="AN34" s="2">
        <f t="shared" si="3"/>
        <v>0</v>
      </c>
      <c r="AP34" s="142">
        <f t="shared" si="1"/>
        <v>0</v>
      </c>
    </row>
    <row r="35" spans="1:42" s="2" customFormat="1" ht="38.25" x14ac:dyDescent="0.25">
      <c r="A35" s="46">
        <v>2</v>
      </c>
      <c r="B35" s="45" t="s">
        <v>400</v>
      </c>
      <c r="C35" s="41">
        <v>8028585</v>
      </c>
      <c r="D35" s="46" t="s">
        <v>56</v>
      </c>
      <c r="E35" s="40" t="s">
        <v>301</v>
      </c>
      <c r="F35" s="110"/>
      <c r="G35" s="110"/>
      <c r="H35" s="105" t="s">
        <v>401</v>
      </c>
      <c r="I35" s="102">
        <v>8000</v>
      </c>
      <c r="J35" s="57">
        <v>8000</v>
      </c>
      <c r="K35" s="42">
        <v>440</v>
      </c>
      <c r="L35" s="42">
        <v>440</v>
      </c>
      <c r="M35" s="42"/>
      <c r="N35" s="42"/>
      <c r="O35" s="42">
        <v>440</v>
      </c>
      <c r="P35" s="42">
        <v>440</v>
      </c>
      <c r="Q35" s="42">
        <v>440</v>
      </c>
      <c r="R35" s="42">
        <v>440</v>
      </c>
      <c r="S35" s="42">
        <v>440</v>
      </c>
      <c r="T35" s="42">
        <v>440</v>
      </c>
      <c r="U35" s="111"/>
      <c r="V35" s="57">
        <v>8000</v>
      </c>
      <c r="W35" s="112"/>
      <c r="X35" s="111"/>
      <c r="Y35" s="111"/>
      <c r="Z35" s="111"/>
      <c r="AA35" s="42">
        <v>440</v>
      </c>
      <c r="AB35" s="113"/>
      <c r="AC35" s="111"/>
      <c r="AD35" s="111"/>
      <c r="AE35" s="42">
        <f t="shared" si="5"/>
        <v>7560</v>
      </c>
      <c r="AF35" s="42">
        <f t="shared" si="6"/>
        <v>7560</v>
      </c>
      <c r="AG35" s="111"/>
      <c r="AH35" s="111"/>
      <c r="AI35" s="42">
        <f t="shared" si="7"/>
        <v>2400</v>
      </c>
      <c r="AJ35" s="42">
        <v>2400</v>
      </c>
      <c r="AK35" s="42">
        <v>2400</v>
      </c>
      <c r="AL35" s="111"/>
      <c r="AM35" s="111"/>
      <c r="AN35" s="2">
        <f t="shared" si="3"/>
        <v>0</v>
      </c>
      <c r="AP35" s="142">
        <f t="shared" si="1"/>
        <v>0</v>
      </c>
    </row>
    <row r="36" spans="1:42" s="2" customFormat="1" ht="38.25" x14ac:dyDescent="0.25">
      <c r="A36" s="46">
        <v>3</v>
      </c>
      <c r="B36" s="45" t="s">
        <v>402</v>
      </c>
      <c r="C36" s="41">
        <v>8031569</v>
      </c>
      <c r="D36" s="46" t="s">
        <v>56</v>
      </c>
      <c r="E36" s="40" t="s">
        <v>301</v>
      </c>
      <c r="F36" s="110"/>
      <c r="G36" s="110"/>
      <c r="H36" s="105" t="s">
        <v>403</v>
      </c>
      <c r="I36" s="102">
        <v>6000</v>
      </c>
      <c r="J36" s="57">
        <v>6000</v>
      </c>
      <c r="K36" s="42">
        <v>244</v>
      </c>
      <c r="L36" s="42">
        <v>244</v>
      </c>
      <c r="M36" s="42"/>
      <c r="N36" s="42"/>
      <c r="O36" s="42">
        <v>244</v>
      </c>
      <c r="P36" s="42">
        <v>244</v>
      </c>
      <c r="Q36" s="42">
        <v>244</v>
      </c>
      <c r="R36" s="42">
        <v>244</v>
      </c>
      <c r="S36" s="42">
        <v>244</v>
      </c>
      <c r="T36" s="42">
        <v>244</v>
      </c>
      <c r="U36" s="111"/>
      <c r="V36" s="57">
        <v>6000</v>
      </c>
      <c r="W36" s="112"/>
      <c r="X36" s="111"/>
      <c r="Y36" s="111"/>
      <c r="Z36" s="111"/>
      <c r="AA36" s="42">
        <v>244</v>
      </c>
      <c r="AB36" s="113"/>
      <c r="AC36" s="111"/>
      <c r="AD36" s="111"/>
      <c r="AE36" s="42">
        <f t="shared" si="5"/>
        <v>5756</v>
      </c>
      <c r="AF36" s="42">
        <f t="shared" si="6"/>
        <v>5756</v>
      </c>
      <c r="AG36" s="111"/>
      <c r="AH36" s="111"/>
      <c r="AI36" s="42">
        <f t="shared" si="7"/>
        <v>1800</v>
      </c>
      <c r="AJ36" s="42">
        <v>1800</v>
      </c>
      <c r="AK36" s="42">
        <v>1800</v>
      </c>
      <c r="AL36" s="111"/>
      <c r="AM36" s="111"/>
      <c r="AN36" s="2">
        <f t="shared" si="3"/>
        <v>0</v>
      </c>
      <c r="AP36" s="142">
        <f t="shared" si="1"/>
        <v>0</v>
      </c>
    </row>
    <row r="37" spans="1:42" s="2" customFormat="1" ht="18.75" x14ac:dyDescent="0.25">
      <c r="A37" s="106" t="s">
        <v>112</v>
      </c>
      <c r="B37" s="151" t="s">
        <v>404</v>
      </c>
      <c r="C37" s="41"/>
      <c r="D37" s="152"/>
      <c r="E37" s="152"/>
      <c r="F37" s="110"/>
      <c r="G37" s="110"/>
      <c r="H37" s="105"/>
      <c r="I37" s="153">
        <f>SUM(I38:I40)</f>
        <v>30000</v>
      </c>
      <c r="J37" s="153">
        <f t="shared" ref="J37:AJ37" si="12">SUM(J38:J40)</f>
        <v>29000</v>
      </c>
      <c r="K37" s="153">
        <f t="shared" si="12"/>
        <v>1728</v>
      </c>
      <c r="L37" s="153">
        <f t="shared" si="12"/>
        <v>1728</v>
      </c>
      <c r="M37" s="153">
        <f t="shared" si="12"/>
        <v>0</v>
      </c>
      <c r="N37" s="153">
        <f t="shared" si="12"/>
        <v>0</v>
      </c>
      <c r="O37" s="153">
        <f t="shared" si="12"/>
        <v>1728</v>
      </c>
      <c r="P37" s="153">
        <f t="shared" si="12"/>
        <v>1728</v>
      </c>
      <c r="Q37" s="153">
        <f t="shared" si="12"/>
        <v>1728</v>
      </c>
      <c r="R37" s="153">
        <f t="shared" si="12"/>
        <v>1728</v>
      </c>
      <c r="S37" s="153">
        <f t="shared" si="12"/>
        <v>1728</v>
      </c>
      <c r="T37" s="153">
        <f t="shared" si="12"/>
        <v>1728</v>
      </c>
      <c r="U37" s="153">
        <f t="shared" si="12"/>
        <v>0</v>
      </c>
      <c r="V37" s="153">
        <f t="shared" si="12"/>
        <v>29000</v>
      </c>
      <c r="W37" s="153">
        <f t="shared" si="12"/>
        <v>0</v>
      </c>
      <c r="X37" s="153">
        <f t="shared" si="12"/>
        <v>0</v>
      </c>
      <c r="Y37" s="153">
        <f t="shared" si="12"/>
        <v>0</v>
      </c>
      <c r="Z37" s="153">
        <f t="shared" si="12"/>
        <v>0</v>
      </c>
      <c r="AA37" s="153">
        <f t="shared" si="12"/>
        <v>1728</v>
      </c>
      <c r="AB37" s="153">
        <f t="shared" si="12"/>
        <v>0</v>
      </c>
      <c r="AC37" s="153">
        <f t="shared" si="12"/>
        <v>0</v>
      </c>
      <c r="AD37" s="153">
        <f t="shared" si="12"/>
        <v>0</v>
      </c>
      <c r="AE37" s="153">
        <f t="shared" si="12"/>
        <v>27272</v>
      </c>
      <c r="AF37" s="153">
        <f t="shared" si="12"/>
        <v>27272</v>
      </c>
      <c r="AG37" s="153">
        <f t="shared" si="12"/>
        <v>0</v>
      </c>
      <c r="AH37" s="153">
        <f t="shared" si="12"/>
        <v>0</v>
      </c>
      <c r="AI37" s="153">
        <f t="shared" si="12"/>
        <v>9400</v>
      </c>
      <c r="AJ37" s="153">
        <f t="shared" si="12"/>
        <v>8900</v>
      </c>
      <c r="AK37" s="153">
        <f>SUM(AK38:AK40)</f>
        <v>9400</v>
      </c>
      <c r="AL37" s="153"/>
      <c r="AM37" s="111"/>
      <c r="AN37" s="2">
        <f t="shared" si="3"/>
        <v>0</v>
      </c>
      <c r="AP37" s="142">
        <f t="shared" si="1"/>
        <v>0</v>
      </c>
    </row>
    <row r="38" spans="1:42" s="2" customFormat="1" ht="51" x14ac:dyDescent="0.25">
      <c r="A38" s="46">
        <v>1</v>
      </c>
      <c r="B38" s="45" t="s">
        <v>405</v>
      </c>
      <c r="C38" s="41">
        <v>8039000</v>
      </c>
      <c r="D38" s="46" t="s">
        <v>99</v>
      </c>
      <c r="E38" s="40" t="s">
        <v>309</v>
      </c>
      <c r="F38" s="110"/>
      <c r="G38" s="110"/>
      <c r="H38" s="105" t="s">
        <v>406</v>
      </c>
      <c r="I38" s="102">
        <v>14500</v>
      </c>
      <c r="J38" s="57">
        <v>14500</v>
      </c>
      <c r="K38" s="42">
        <v>830</v>
      </c>
      <c r="L38" s="42">
        <v>830</v>
      </c>
      <c r="M38" s="42"/>
      <c r="N38" s="42"/>
      <c r="O38" s="42">
        <v>830</v>
      </c>
      <c r="P38" s="42">
        <v>830</v>
      </c>
      <c r="Q38" s="42">
        <v>830</v>
      </c>
      <c r="R38" s="42">
        <v>830</v>
      </c>
      <c r="S38" s="42">
        <v>830</v>
      </c>
      <c r="T38" s="42">
        <v>830</v>
      </c>
      <c r="U38" s="111"/>
      <c r="V38" s="57">
        <v>14500</v>
      </c>
      <c r="W38" s="112"/>
      <c r="X38" s="111"/>
      <c r="Y38" s="111"/>
      <c r="Z38" s="111"/>
      <c r="AA38" s="42">
        <v>830</v>
      </c>
      <c r="AB38" s="113"/>
      <c r="AC38" s="111"/>
      <c r="AD38" s="111"/>
      <c r="AE38" s="42">
        <f t="shared" si="5"/>
        <v>13670</v>
      </c>
      <c r="AF38" s="42">
        <f t="shared" si="6"/>
        <v>13670</v>
      </c>
      <c r="AG38" s="111"/>
      <c r="AH38" s="111"/>
      <c r="AI38" s="42">
        <v>5000</v>
      </c>
      <c r="AJ38" s="42">
        <v>4500</v>
      </c>
      <c r="AK38" s="42">
        <v>5000</v>
      </c>
      <c r="AL38" s="111"/>
      <c r="AM38" s="111"/>
      <c r="AN38" s="2">
        <f t="shared" si="3"/>
        <v>0</v>
      </c>
      <c r="AP38" s="142">
        <f t="shared" si="1"/>
        <v>0</v>
      </c>
    </row>
    <row r="39" spans="1:42" s="2" customFormat="1" ht="51" x14ac:dyDescent="0.25">
      <c r="A39" s="46">
        <v>2</v>
      </c>
      <c r="B39" s="45" t="s">
        <v>407</v>
      </c>
      <c r="C39" s="41">
        <v>8034183</v>
      </c>
      <c r="D39" s="46" t="s">
        <v>99</v>
      </c>
      <c r="E39" s="40" t="s">
        <v>309</v>
      </c>
      <c r="F39" s="110"/>
      <c r="G39" s="110"/>
      <c r="H39" s="105" t="s">
        <v>408</v>
      </c>
      <c r="I39" s="102">
        <v>8500</v>
      </c>
      <c r="J39" s="57">
        <v>8500</v>
      </c>
      <c r="K39" s="42">
        <v>520</v>
      </c>
      <c r="L39" s="42">
        <v>520</v>
      </c>
      <c r="M39" s="42"/>
      <c r="N39" s="42"/>
      <c r="O39" s="42">
        <v>520</v>
      </c>
      <c r="P39" s="42">
        <v>520</v>
      </c>
      <c r="Q39" s="42">
        <v>520</v>
      </c>
      <c r="R39" s="42">
        <v>520</v>
      </c>
      <c r="S39" s="42">
        <v>520</v>
      </c>
      <c r="T39" s="42">
        <v>520</v>
      </c>
      <c r="U39" s="111"/>
      <c r="V39" s="57">
        <v>8500</v>
      </c>
      <c r="W39" s="112"/>
      <c r="X39" s="111"/>
      <c r="Y39" s="111"/>
      <c r="Z39" s="111"/>
      <c r="AA39" s="42">
        <v>520</v>
      </c>
      <c r="AB39" s="113"/>
      <c r="AC39" s="111"/>
      <c r="AD39" s="111"/>
      <c r="AE39" s="42">
        <f t="shared" si="5"/>
        <v>7980</v>
      </c>
      <c r="AF39" s="42">
        <f t="shared" si="6"/>
        <v>7980</v>
      </c>
      <c r="AG39" s="111"/>
      <c r="AH39" s="111"/>
      <c r="AI39" s="42">
        <f t="shared" si="7"/>
        <v>2600</v>
      </c>
      <c r="AJ39" s="42">
        <v>2600</v>
      </c>
      <c r="AK39" s="42">
        <v>2600</v>
      </c>
      <c r="AL39" s="111"/>
      <c r="AM39" s="111"/>
      <c r="AN39" s="2">
        <f t="shared" si="3"/>
        <v>0</v>
      </c>
      <c r="AP39" s="142">
        <f t="shared" si="1"/>
        <v>0</v>
      </c>
    </row>
    <row r="40" spans="1:42" s="2" customFormat="1" ht="51" x14ac:dyDescent="0.25">
      <c r="A40" s="46">
        <v>3</v>
      </c>
      <c r="B40" s="45" t="s">
        <v>409</v>
      </c>
      <c r="C40" s="41">
        <v>8033864</v>
      </c>
      <c r="D40" s="46" t="s">
        <v>99</v>
      </c>
      <c r="E40" s="40" t="s">
        <v>309</v>
      </c>
      <c r="F40" s="110"/>
      <c r="G40" s="110"/>
      <c r="H40" s="105" t="s">
        <v>410</v>
      </c>
      <c r="I40" s="102">
        <v>7000</v>
      </c>
      <c r="J40" s="57">
        <v>6000</v>
      </c>
      <c r="K40" s="42">
        <v>378</v>
      </c>
      <c r="L40" s="42">
        <v>378</v>
      </c>
      <c r="M40" s="42"/>
      <c r="N40" s="42"/>
      <c r="O40" s="42">
        <v>378</v>
      </c>
      <c r="P40" s="42">
        <v>378</v>
      </c>
      <c r="Q40" s="42">
        <v>378</v>
      </c>
      <c r="R40" s="42">
        <v>378</v>
      </c>
      <c r="S40" s="42">
        <v>378</v>
      </c>
      <c r="T40" s="42">
        <v>378</v>
      </c>
      <c r="U40" s="111"/>
      <c r="V40" s="57">
        <v>6000</v>
      </c>
      <c r="W40" s="112"/>
      <c r="X40" s="111"/>
      <c r="Y40" s="111"/>
      <c r="Z40" s="111"/>
      <c r="AA40" s="42">
        <v>378</v>
      </c>
      <c r="AB40" s="113"/>
      <c r="AC40" s="111"/>
      <c r="AD40" s="111"/>
      <c r="AE40" s="42">
        <f t="shared" si="5"/>
        <v>5622</v>
      </c>
      <c r="AF40" s="42">
        <f t="shared" si="6"/>
        <v>5622</v>
      </c>
      <c r="AG40" s="111"/>
      <c r="AH40" s="111"/>
      <c r="AI40" s="42">
        <f t="shared" si="7"/>
        <v>1800</v>
      </c>
      <c r="AJ40" s="42">
        <v>1800</v>
      </c>
      <c r="AK40" s="42">
        <v>1800</v>
      </c>
      <c r="AL40" s="111"/>
      <c r="AM40" s="111"/>
      <c r="AN40" s="2">
        <f t="shared" si="3"/>
        <v>0</v>
      </c>
      <c r="AP40" s="142">
        <f t="shared" si="1"/>
        <v>0</v>
      </c>
    </row>
    <row r="41" spans="1:42" s="2" customFormat="1" ht="18.75" x14ac:dyDescent="0.25">
      <c r="A41" s="106" t="s">
        <v>122</v>
      </c>
      <c r="B41" s="151" t="s">
        <v>411</v>
      </c>
      <c r="C41" s="41"/>
      <c r="D41" s="152"/>
      <c r="E41" s="40"/>
      <c r="F41" s="110"/>
      <c r="G41" s="110"/>
      <c r="H41" s="105"/>
      <c r="I41" s="153">
        <f>SUM(I42:I45)</f>
        <v>48470</v>
      </c>
      <c r="J41" s="153">
        <f>SUM(J42:J45)</f>
        <v>40970</v>
      </c>
      <c r="K41" s="153">
        <f>SUM(K42:K45)</f>
        <v>2092</v>
      </c>
      <c r="L41" s="153">
        <f>SUM(L42:L45)</f>
        <v>2092</v>
      </c>
      <c r="M41" s="153">
        <f t="shared" ref="M41:R41" si="13">SUM(M42:M44)</f>
        <v>0</v>
      </c>
      <c r="N41" s="153">
        <f t="shared" si="13"/>
        <v>0</v>
      </c>
      <c r="O41" s="153">
        <f t="shared" si="13"/>
        <v>1567</v>
      </c>
      <c r="P41" s="153">
        <f t="shared" si="13"/>
        <v>1567</v>
      </c>
      <c r="Q41" s="153">
        <f t="shared" si="13"/>
        <v>1567</v>
      </c>
      <c r="R41" s="153">
        <f t="shared" si="13"/>
        <v>1567</v>
      </c>
      <c r="S41" s="153">
        <f>SUM(S42:S45)</f>
        <v>2092</v>
      </c>
      <c r="T41" s="153">
        <f>SUM(T42:T45)</f>
        <v>2092</v>
      </c>
      <c r="U41" s="153">
        <f t="shared" ref="U41:AD41" si="14">SUM(U42:U44)</f>
        <v>0</v>
      </c>
      <c r="V41" s="153">
        <f t="shared" si="14"/>
        <v>28470</v>
      </c>
      <c r="W41" s="153">
        <f t="shared" si="14"/>
        <v>0</v>
      </c>
      <c r="X41" s="153">
        <f t="shared" si="14"/>
        <v>0</v>
      </c>
      <c r="Y41" s="153">
        <f t="shared" si="14"/>
        <v>0</v>
      </c>
      <c r="Z41" s="153">
        <f t="shared" si="14"/>
        <v>0</v>
      </c>
      <c r="AA41" s="153">
        <f t="shared" si="14"/>
        <v>1567</v>
      </c>
      <c r="AB41" s="153">
        <f t="shared" si="14"/>
        <v>0</v>
      </c>
      <c r="AC41" s="153">
        <f t="shared" si="14"/>
        <v>0</v>
      </c>
      <c r="AD41" s="153">
        <f t="shared" si="14"/>
        <v>0</v>
      </c>
      <c r="AE41" s="153">
        <f>SUM(AE42:AE45)</f>
        <v>38878</v>
      </c>
      <c r="AF41" s="153">
        <f>SUM(AF42:AF45)</f>
        <v>38878</v>
      </c>
      <c r="AG41" s="153">
        <f>SUM(AG42:AG44)</f>
        <v>0</v>
      </c>
      <c r="AH41" s="153">
        <f>SUM(AH42:AH44)</f>
        <v>0</v>
      </c>
      <c r="AI41" s="153">
        <f>SUM(AI42:AI45)</f>
        <v>12400</v>
      </c>
      <c r="AJ41" s="153">
        <f>SUM(AJ42:AJ44)</f>
        <v>8600</v>
      </c>
      <c r="AK41" s="153">
        <f>SUM(AK42:AK45)</f>
        <v>12400</v>
      </c>
      <c r="AL41" s="111"/>
      <c r="AM41" s="111"/>
      <c r="AN41" s="2">
        <f t="shared" si="3"/>
        <v>0</v>
      </c>
      <c r="AP41" s="142">
        <f t="shared" si="1"/>
        <v>0</v>
      </c>
    </row>
    <row r="42" spans="1:42" s="2" customFormat="1" ht="38.25" x14ac:dyDescent="0.25">
      <c r="A42" s="46">
        <v>1</v>
      </c>
      <c r="B42" s="45" t="s">
        <v>412</v>
      </c>
      <c r="C42" s="41">
        <v>8045817</v>
      </c>
      <c r="D42" s="46" t="s">
        <v>319</v>
      </c>
      <c r="E42" s="40" t="s">
        <v>320</v>
      </c>
      <c r="F42" s="110"/>
      <c r="G42" s="110"/>
      <c r="H42" s="105" t="s">
        <v>413</v>
      </c>
      <c r="I42" s="102">
        <v>14600</v>
      </c>
      <c r="J42" s="57">
        <v>12600</v>
      </c>
      <c r="K42" s="42">
        <v>822</v>
      </c>
      <c r="L42" s="42">
        <v>822</v>
      </c>
      <c r="M42" s="42"/>
      <c r="N42" s="42"/>
      <c r="O42" s="42">
        <v>822</v>
      </c>
      <c r="P42" s="42">
        <v>822</v>
      </c>
      <c r="Q42" s="42">
        <v>822</v>
      </c>
      <c r="R42" s="42">
        <v>822</v>
      </c>
      <c r="S42" s="42">
        <v>822</v>
      </c>
      <c r="T42" s="42">
        <v>822</v>
      </c>
      <c r="U42" s="111"/>
      <c r="V42" s="57">
        <v>12600</v>
      </c>
      <c r="W42" s="112"/>
      <c r="X42" s="111"/>
      <c r="Y42" s="111"/>
      <c r="Z42" s="111"/>
      <c r="AA42" s="42">
        <v>822</v>
      </c>
      <c r="AB42" s="113"/>
      <c r="AC42" s="111"/>
      <c r="AD42" s="111"/>
      <c r="AE42" s="42">
        <f t="shared" si="5"/>
        <v>11778</v>
      </c>
      <c r="AF42" s="42">
        <f t="shared" si="6"/>
        <v>11778</v>
      </c>
      <c r="AG42" s="111"/>
      <c r="AH42" s="111"/>
      <c r="AI42" s="42">
        <f t="shared" si="7"/>
        <v>3800</v>
      </c>
      <c r="AJ42" s="42">
        <v>3800</v>
      </c>
      <c r="AK42" s="42">
        <v>3800</v>
      </c>
      <c r="AL42" s="111"/>
      <c r="AM42" s="111"/>
      <c r="AN42" s="2">
        <f t="shared" si="3"/>
        <v>0</v>
      </c>
      <c r="AP42" s="142">
        <f t="shared" si="1"/>
        <v>0</v>
      </c>
    </row>
    <row r="43" spans="1:42" s="2" customFormat="1" ht="38.25" x14ac:dyDescent="0.25">
      <c r="A43" s="46">
        <v>2</v>
      </c>
      <c r="B43" s="45" t="s">
        <v>414</v>
      </c>
      <c r="C43" s="41">
        <v>8035475</v>
      </c>
      <c r="D43" s="46" t="s">
        <v>319</v>
      </c>
      <c r="E43" s="40" t="s">
        <v>320</v>
      </c>
      <c r="F43" s="110"/>
      <c r="G43" s="110"/>
      <c r="H43" s="105" t="s">
        <v>415</v>
      </c>
      <c r="I43" s="102">
        <v>10500</v>
      </c>
      <c r="J43" s="57">
        <v>9495</v>
      </c>
      <c r="K43" s="42">
        <v>412</v>
      </c>
      <c r="L43" s="42">
        <v>412</v>
      </c>
      <c r="M43" s="42"/>
      <c r="N43" s="42"/>
      <c r="O43" s="42">
        <v>412</v>
      </c>
      <c r="P43" s="42">
        <v>412</v>
      </c>
      <c r="Q43" s="42">
        <v>412</v>
      </c>
      <c r="R43" s="42">
        <v>412</v>
      </c>
      <c r="S43" s="42">
        <v>412</v>
      </c>
      <c r="T43" s="42">
        <v>412</v>
      </c>
      <c r="U43" s="111"/>
      <c r="V43" s="57">
        <v>9495</v>
      </c>
      <c r="W43" s="112"/>
      <c r="X43" s="111"/>
      <c r="Y43" s="111"/>
      <c r="Z43" s="111"/>
      <c r="AA43" s="42">
        <v>412</v>
      </c>
      <c r="AB43" s="113"/>
      <c r="AC43" s="111"/>
      <c r="AD43" s="111"/>
      <c r="AE43" s="42">
        <f t="shared" si="5"/>
        <v>9083</v>
      </c>
      <c r="AF43" s="42">
        <f t="shared" si="6"/>
        <v>9083</v>
      </c>
      <c r="AG43" s="111"/>
      <c r="AH43" s="111"/>
      <c r="AI43" s="42">
        <f t="shared" si="7"/>
        <v>2900</v>
      </c>
      <c r="AJ43" s="42">
        <v>2900</v>
      </c>
      <c r="AK43" s="42">
        <v>2900</v>
      </c>
      <c r="AL43" s="111"/>
      <c r="AM43" s="111"/>
      <c r="AN43" s="2">
        <f t="shared" si="3"/>
        <v>0</v>
      </c>
      <c r="AP43" s="142">
        <f t="shared" si="1"/>
        <v>0</v>
      </c>
    </row>
    <row r="44" spans="1:42" s="2" customFormat="1" ht="38.25" x14ac:dyDescent="0.25">
      <c r="A44" s="46">
        <v>3</v>
      </c>
      <c r="B44" s="117" t="s">
        <v>416</v>
      </c>
      <c r="C44" s="41">
        <v>8044959</v>
      </c>
      <c r="D44" s="46" t="s">
        <v>319</v>
      </c>
      <c r="E44" s="40" t="s">
        <v>320</v>
      </c>
      <c r="F44" s="110"/>
      <c r="G44" s="110"/>
      <c r="H44" s="105" t="s">
        <v>417</v>
      </c>
      <c r="I44" s="155">
        <v>8500</v>
      </c>
      <c r="J44" s="156">
        <v>6375</v>
      </c>
      <c r="K44" s="42">
        <v>333</v>
      </c>
      <c r="L44" s="42">
        <v>333</v>
      </c>
      <c r="M44" s="42"/>
      <c r="N44" s="42"/>
      <c r="O44" s="42">
        <v>333</v>
      </c>
      <c r="P44" s="42">
        <v>333</v>
      </c>
      <c r="Q44" s="42">
        <v>333</v>
      </c>
      <c r="R44" s="42">
        <v>333</v>
      </c>
      <c r="S44" s="42">
        <v>333</v>
      </c>
      <c r="T44" s="42">
        <v>333</v>
      </c>
      <c r="U44" s="111"/>
      <c r="V44" s="156">
        <v>6375</v>
      </c>
      <c r="W44" s="112"/>
      <c r="X44" s="111"/>
      <c r="Y44" s="111"/>
      <c r="Z44" s="111"/>
      <c r="AA44" s="42">
        <v>333</v>
      </c>
      <c r="AB44" s="113"/>
      <c r="AC44" s="111"/>
      <c r="AD44" s="111"/>
      <c r="AE44" s="42">
        <f t="shared" si="5"/>
        <v>6042</v>
      </c>
      <c r="AF44" s="42">
        <f t="shared" si="6"/>
        <v>6042</v>
      </c>
      <c r="AG44" s="111"/>
      <c r="AH44" s="111"/>
      <c r="AI44" s="42">
        <f t="shared" si="7"/>
        <v>1900</v>
      </c>
      <c r="AJ44" s="42">
        <v>1900</v>
      </c>
      <c r="AK44" s="42">
        <v>1900</v>
      </c>
      <c r="AL44" s="111"/>
      <c r="AM44" s="111"/>
      <c r="AN44" s="2">
        <f t="shared" si="3"/>
        <v>0</v>
      </c>
      <c r="AP44" s="142">
        <f t="shared" si="1"/>
        <v>0</v>
      </c>
    </row>
    <row r="45" spans="1:42" s="2" customFormat="1" ht="51" x14ac:dyDescent="0.25">
      <c r="A45" s="46">
        <v>4</v>
      </c>
      <c r="B45" s="45" t="s">
        <v>418</v>
      </c>
      <c r="C45" s="41">
        <v>220230012</v>
      </c>
      <c r="D45" s="46" t="s">
        <v>319</v>
      </c>
      <c r="E45" s="40" t="s">
        <v>320</v>
      </c>
      <c r="F45" s="110"/>
      <c r="G45" s="110"/>
      <c r="H45" s="105" t="s">
        <v>419</v>
      </c>
      <c r="I45" s="102">
        <v>14870</v>
      </c>
      <c r="J45" s="57">
        <v>12500</v>
      </c>
      <c r="K45" s="42">
        <v>525</v>
      </c>
      <c r="L45" s="42">
        <v>525</v>
      </c>
      <c r="M45" s="42"/>
      <c r="N45" s="42"/>
      <c r="O45" s="42">
        <v>525</v>
      </c>
      <c r="P45" s="42">
        <v>525</v>
      </c>
      <c r="Q45" s="42">
        <v>525</v>
      </c>
      <c r="R45" s="42">
        <v>525</v>
      </c>
      <c r="S45" s="42">
        <v>525</v>
      </c>
      <c r="T45" s="42">
        <v>525</v>
      </c>
      <c r="U45" s="111"/>
      <c r="V45" s="57">
        <v>12500</v>
      </c>
      <c r="W45" s="112"/>
      <c r="X45" s="111"/>
      <c r="Y45" s="111"/>
      <c r="Z45" s="111"/>
      <c r="AA45" s="42">
        <v>525</v>
      </c>
      <c r="AB45" s="113"/>
      <c r="AC45" s="111"/>
      <c r="AD45" s="111"/>
      <c r="AE45" s="42">
        <f t="shared" si="5"/>
        <v>11975</v>
      </c>
      <c r="AF45" s="42">
        <f t="shared" si="6"/>
        <v>11975</v>
      </c>
      <c r="AG45" s="111"/>
      <c r="AH45" s="111"/>
      <c r="AI45" s="42">
        <f t="shared" si="7"/>
        <v>3800</v>
      </c>
      <c r="AJ45" s="42">
        <v>3800</v>
      </c>
      <c r="AK45" s="42">
        <v>3800</v>
      </c>
      <c r="AL45" s="111"/>
      <c r="AM45" s="111"/>
      <c r="AN45" s="2">
        <f t="shared" si="3"/>
        <v>0</v>
      </c>
      <c r="AP45" s="142">
        <f t="shared" si="1"/>
        <v>0</v>
      </c>
    </row>
    <row r="46" spans="1:42" s="2" customFormat="1" ht="18.75" x14ac:dyDescent="0.25">
      <c r="A46" s="106" t="s">
        <v>128</v>
      </c>
      <c r="B46" s="157" t="s">
        <v>420</v>
      </c>
      <c r="C46" s="41"/>
      <c r="D46" s="106"/>
      <c r="E46" s="106"/>
      <c r="F46" s="110"/>
      <c r="G46" s="110"/>
      <c r="H46" s="105"/>
      <c r="I46" s="158">
        <f t="shared" ref="I46:AK46" si="15">SUM(I47:I47)</f>
        <v>12000</v>
      </c>
      <c r="J46" s="158">
        <f t="shared" si="15"/>
        <v>12000</v>
      </c>
      <c r="K46" s="158">
        <f t="shared" si="15"/>
        <v>820</v>
      </c>
      <c r="L46" s="158">
        <f t="shared" si="15"/>
        <v>820</v>
      </c>
      <c r="M46" s="158">
        <f t="shared" si="15"/>
        <v>0</v>
      </c>
      <c r="N46" s="158">
        <f t="shared" si="15"/>
        <v>0</v>
      </c>
      <c r="O46" s="158">
        <f t="shared" si="15"/>
        <v>820</v>
      </c>
      <c r="P46" s="158">
        <f t="shared" si="15"/>
        <v>820</v>
      </c>
      <c r="Q46" s="158">
        <f t="shared" si="15"/>
        <v>820</v>
      </c>
      <c r="R46" s="158">
        <f t="shared" si="15"/>
        <v>820</v>
      </c>
      <c r="S46" s="158">
        <f t="shared" si="15"/>
        <v>820</v>
      </c>
      <c r="T46" s="158">
        <f t="shared" si="15"/>
        <v>820</v>
      </c>
      <c r="U46" s="158">
        <f t="shared" si="15"/>
        <v>0</v>
      </c>
      <c r="V46" s="158">
        <f t="shared" si="15"/>
        <v>12000</v>
      </c>
      <c r="W46" s="158">
        <f t="shared" si="15"/>
        <v>0</v>
      </c>
      <c r="X46" s="158">
        <f t="shared" si="15"/>
        <v>0</v>
      </c>
      <c r="Y46" s="158">
        <f t="shared" si="15"/>
        <v>0</v>
      </c>
      <c r="Z46" s="158">
        <f t="shared" si="15"/>
        <v>0</v>
      </c>
      <c r="AA46" s="158">
        <f t="shared" si="15"/>
        <v>820</v>
      </c>
      <c r="AB46" s="158">
        <f t="shared" si="15"/>
        <v>0</v>
      </c>
      <c r="AC46" s="158">
        <f t="shared" si="15"/>
        <v>0</v>
      </c>
      <c r="AD46" s="158">
        <f t="shared" si="15"/>
        <v>0</v>
      </c>
      <c r="AE46" s="158">
        <f t="shared" si="15"/>
        <v>11180</v>
      </c>
      <c r="AF46" s="158">
        <f t="shared" si="15"/>
        <v>11180</v>
      </c>
      <c r="AG46" s="158">
        <f t="shared" si="15"/>
        <v>0</v>
      </c>
      <c r="AH46" s="158">
        <f t="shared" si="15"/>
        <v>0</v>
      </c>
      <c r="AI46" s="158">
        <f t="shared" si="15"/>
        <v>4000</v>
      </c>
      <c r="AJ46" s="158">
        <f t="shared" si="15"/>
        <v>3600</v>
      </c>
      <c r="AK46" s="158">
        <f t="shared" si="15"/>
        <v>4000</v>
      </c>
      <c r="AL46" s="111"/>
      <c r="AM46" s="111"/>
      <c r="AN46" s="2">
        <f t="shared" si="3"/>
        <v>0</v>
      </c>
      <c r="AP46" s="142">
        <f t="shared" si="1"/>
        <v>0</v>
      </c>
    </row>
    <row r="47" spans="1:42" s="2" customFormat="1" ht="51" x14ac:dyDescent="0.25">
      <c r="A47" s="46">
        <v>1</v>
      </c>
      <c r="B47" s="117" t="s">
        <v>421</v>
      </c>
      <c r="C47" s="41">
        <v>8031570</v>
      </c>
      <c r="D47" s="46" t="s">
        <v>176</v>
      </c>
      <c r="E47" s="40" t="s">
        <v>177</v>
      </c>
      <c r="F47" s="110"/>
      <c r="G47" s="110"/>
      <c r="H47" s="105" t="s">
        <v>422</v>
      </c>
      <c r="I47" s="109">
        <v>12000</v>
      </c>
      <c r="J47" s="109">
        <v>12000</v>
      </c>
      <c r="K47" s="42">
        <v>820</v>
      </c>
      <c r="L47" s="42">
        <v>820</v>
      </c>
      <c r="M47" s="42"/>
      <c r="N47" s="42"/>
      <c r="O47" s="42">
        <v>820</v>
      </c>
      <c r="P47" s="42">
        <v>820</v>
      </c>
      <c r="Q47" s="42">
        <v>820</v>
      </c>
      <c r="R47" s="42">
        <v>820</v>
      </c>
      <c r="S47" s="42">
        <v>820</v>
      </c>
      <c r="T47" s="42">
        <v>820</v>
      </c>
      <c r="U47" s="111"/>
      <c r="V47" s="109">
        <v>12000</v>
      </c>
      <c r="W47" s="112"/>
      <c r="X47" s="111"/>
      <c r="Y47" s="111"/>
      <c r="Z47" s="111"/>
      <c r="AA47" s="42">
        <v>820</v>
      </c>
      <c r="AB47" s="113"/>
      <c r="AC47" s="111"/>
      <c r="AD47" s="111"/>
      <c r="AE47" s="42">
        <f t="shared" si="5"/>
        <v>11180</v>
      </c>
      <c r="AF47" s="42">
        <f t="shared" si="6"/>
        <v>11180</v>
      </c>
      <c r="AG47" s="111"/>
      <c r="AH47" s="111"/>
      <c r="AI47" s="42">
        <v>4000</v>
      </c>
      <c r="AJ47" s="42">
        <v>3600</v>
      </c>
      <c r="AK47" s="42">
        <v>4000</v>
      </c>
      <c r="AL47" s="111"/>
      <c r="AM47" s="111"/>
      <c r="AN47" s="2">
        <f t="shared" si="3"/>
        <v>0</v>
      </c>
      <c r="AP47" s="142">
        <f t="shared" si="1"/>
        <v>0</v>
      </c>
    </row>
    <row r="48" spans="1:42" s="2" customFormat="1" ht="18.75" x14ac:dyDescent="0.25">
      <c r="A48" s="106" t="s">
        <v>133</v>
      </c>
      <c r="B48" s="157" t="s">
        <v>423</v>
      </c>
      <c r="C48" s="41"/>
      <c r="D48" s="106"/>
      <c r="E48" s="106"/>
      <c r="F48" s="110"/>
      <c r="G48" s="110"/>
      <c r="H48" s="105"/>
      <c r="I48" s="158">
        <f t="shared" ref="I48:AK48" si="16">SUM(I49:I49)</f>
        <v>6000</v>
      </c>
      <c r="J48" s="158">
        <f t="shared" si="16"/>
        <v>6000</v>
      </c>
      <c r="K48" s="158">
        <f t="shared" si="16"/>
        <v>260</v>
      </c>
      <c r="L48" s="158">
        <f t="shared" si="16"/>
        <v>260</v>
      </c>
      <c r="M48" s="158">
        <f t="shared" si="16"/>
        <v>0</v>
      </c>
      <c r="N48" s="158">
        <f t="shared" si="16"/>
        <v>0</v>
      </c>
      <c r="O48" s="158">
        <f t="shared" si="16"/>
        <v>260</v>
      </c>
      <c r="P48" s="158">
        <f t="shared" si="16"/>
        <v>260</v>
      </c>
      <c r="Q48" s="158">
        <f t="shared" si="16"/>
        <v>260</v>
      </c>
      <c r="R48" s="158">
        <f t="shared" si="16"/>
        <v>260</v>
      </c>
      <c r="S48" s="158">
        <f t="shared" si="16"/>
        <v>260</v>
      </c>
      <c r="T48" s="158">
        <f t="shared" si="16"/>
        <v>260</v>
      </c>
      <c r="U48" s="158">
        <f t="shared" si="16"/>
        <v>0</v>
      </c>
      <c r="V48" s="158">
        <f t="shared" si="16"/>
        <v>6000</v>
      </c>
      <c r="W48" s="158">
        <f t="shared" si="16"/>
        <v>0</v>
      </c>
      <c r="X48" s="158">
        <f t="shared" si="16"/>
        <v>0</v>
      </c>
      <c r="Y48" s="158">
        <f t="shared" si="16"/>
        <v>0</v>
      </c>
      <c r="Z48" s="158">
        <f t="shared" si="16"/>
        <v>0</v>
      </c>
      <c r="AA48" s="158">
        <f t="shared" si="16"/>
        <v>260</v>
      </c>
      <c r="AB48" s="158">
        <f t="shared" si="16"/>
        <v>0</v>
      </c>
      <c r="AC48" s="158">
        <f t="shared" si="16"/>
        <v>0</v>
      </c>
      <c r="AD48" s="158">
        <f t="shared" si="16"/>
        <v>0</v>
      </c>
      <c r="AE48" s="158">
        <f t="shared" si="16"/>
        <v>5740</v>
      </c>
      <c r="AF48" s="158">
        <f t="shared" si="16"/>
        <v>5740</v>
      </c>
      <c r="AG48" s="158">
        <f t="shared" si="16"/>
        <v>0</v>
      </c>
      <c r="AH48" s="158">
        <f t="shared" si="16"/>
        <v>0</v>
      </c>
      <c r="AI48" s="158">
        <f t="shared" si="16"/>
        <v>1800</v>
      </c>
      <c r="AJ48" s="158">
        <f t="shared" si="16"/>
        <v>1800</v>
      </c>
      <c r="AK48" s="158">
        <f t="shared" si="16"/>
        <v>1800</v>
      </c>
      <c r="AL48" s="111"/>
      <c r="AM48" s="111"/>
      <c r="AN48" s="2">
        <f t="shared" si="3"/>
        <v>0</v>
      </c>
      <c r="AP48" s="142">
        <f t="shared" si="1"/>
        <v>0</v>
      </c>
    </row>
    <row r="49" spans="1:42" s="2" customFormat="1" ht="51" x14ac:dyDescent="0.25">
      <c r="A49" s="46">
        <v>1</v>
      </c>
      <c r="B49" s="45" t="s">
        <v>424</v>
      </c>
      <c r="C49" s="41">
        <v>8046483</v>
      </c>
      <c r="D49" s="46" t="s">
        <v>172</v>
      </c>
      <c r="E49" s="40" t="s">
        <v>173</v>
      </c>
      <c r="F49" s="110"/>
      <c r="G49" s="110"/>
      <c r="H49" s="105" t="s">
        <v>425</v>
      </c>
      <c r="I49" s="109">
        <v>6000</v>
      </c>
      <c r="J49" s="109">
        <v>6000</v>
      </c>
      <c r="K49" s="42">
        <v>260</v>
      </c>
      <c r="L49" s="42">
        <v>260</v>
      </c>
      <c r="M49" s="42"/>
      <c r="N49" s="42"/>
      <c r="O49" s="42">
        <v>260</v>
      </c>
      <c r="P49" s="42">
        <v>260</v>
      </c>
      <c r="Q49" s="42">
        <v>260</v>
      </c>
      <c r="R49" s="42">
        <v>260</v>
      </c>
      <c r="S49" s="42">
        <v>260</v>
      </c>
      <c r="T49" s="42">
        <v>260</v>
      </c>
      <c r="U49" s="111"/>
      <c r="V49" s="109">
        <v>6000</v>
      </c>
      <c r="W49" s="112"/>
      <c r="X49" s="111"/>
      <c r="Y49" s="111"/>
      <c r="Z49" s="111"/>
      <c r="AA49" s="42">
        <v>260</v>
      </c>
      <c r="AB49" s="113"/>
      <c r="AC49" s="111"/>
      <c r="AD49" s="111"/>
      <c r="AE49" s="42">
        <f t="shared" si="5"/>
        <v>5740</v>
      </c>
      <c r="AF49" s="42">
        <f t="shared" si="6"/>
        <v>5740</v>
      </c>
      <c r="AG49" s="111"/>
      <c r="AH49" s="111"/>
      <c r="AI49" s="42">
        <f t="shared" si="7"/>
        <v>1800</v>
      </c>
      <c r="AJ49" s="42">
        <v>1800</v>
      </c>
      <c r="AK49" s="42">
        <v>1800</v>
      </c>
      <c r="AL49" s="111"/>
      <c r="AM49" s="111"/>
      <c r="AN49" s="2">
        <f t="shared" si="3"/>
        <v>0</v>
      </c>
      <c r="AP49" s="142">
        <f t="shared" si="1"/>
        <v>0</v>
      </c>
    </row>
    <row r="50" spans="1:42" s="2" customFormat="1" ht="18.75" x14ac:dyDescent="0.25">
      <c r="A50" s="106" t="s">
        <v>169</v>
      </c>
      <c r="B50" s="157" t="s">
        <v>426</v>
      </c>
      <c r="C50" s="41"/>
      <c r="D50" s="106"/>
      <c r="E50" s="106"/>
      <c r="F50" s="110"/>
      <c r="G50" s="110"/>
      <c r="H50" s="105"/>
      <c r="I50" s="158">
        <f>SUM(I51:I57)</f>
        <v>73000</v>
      </c>
      <c r="J50" s="158">
        <f t="shared" ref="J50:AJ50" si="17">SUM(J51:J57)</f>
        <v>63000</v>
      </c>
      <c r="K50" s="158">
        <f t="shared" si="17"/>
        <v>2624</v>
      </c>
      <c r="L50" s="158">
        <f t="shared" si="17"/>
        <v>2624</v>
      </c>
      <c r="M50" s="158">
        <f t="shared" si="17"/>
        <v>848</v>
      </c>
      <c r="N50" s="158">
        <f t="shared" si="17"/>
        <v>848</v>
      </c>
      <c r="O50" s="158">
        <f t="shared" si="17"/>
        <v>2624</v>
      </c>
      <c r="P50" s="158">
        <f t="shared" si="17"/>
        <v>2624</v>
      </c>
      <c r="Q50" s="158">
        <f t="shared" si="17"/>
        <v>2624</v>
      </c>
      <c r="R50" s="158">
        <f t="shared" si="17"/>
        <v>2624</v>
      </c>
      <c r="S50" s="158">
        <f t="shared" si="17"/>
        <v>2624</v>
      </c>
      <c r="T50" s="158">
        <f t="shared" si="17"/>
        <v>2624</v>
      </c>
      <c r="U50" s="158">
        <f t="shared" si="17"/>
        <v>0</v>
      </c>
      <c r="V50" s="158">
        <f t="shared" si="17"/>
        <v>63000</v>
      </c>
      <c r="W50" s="158">
        <f t="shared" si="17"/>
        <v>0</v>
      </c>
      <c r="X50" s="158">
        <f t="shared" si="17"/>
        <v>0</v>
      </c>
      <c r="Y50" s="158">
        <f t="shared" si="17"/>
        <v>0</v>
      </c>
      <c r="Z50" s="158">
        <f t="shared" si="17"/>
        <v>0</v>
      </c>
      <c r="AA50" s="158">
        <f t="shared" si="17"/>
        <v>2624</v>
      </c>
      <c r="AB50" s="158">
        <f t="shared" si="17"/>
        <v>0</v>
      </c>
      <c r="AC50" s="158">
        <f t="shared" si="17"/>
        <v>0</v>
      </c>
      <c r="AD50" s="158">
        <f t="shared" si="17"/>
        <v>0</v>
      </c>
      <c r="AE50" s="158">
        <f t="shared" si="17"/>
        <v>60376</v>
      </c>
      <c r="AF50" s="158">
        <f t="shared" si="17"/>
        <v>60376</v>
      </c>
      <c r="AG50" s="158">
        <f t="shared" si="17"/>
        <v>0</v>
      </c>
      <c r="AH50" s="158">
        <f t="shared" si="17"/>
        <v>0</v>
      </c>
      <c r="AI50" s="158">
        <f t="shared" si="17"/>
        <v>22596</v>
      </c>
      <c r="AJ50" s="158">
        <f t="shared" si="17"/>
        <v>19500</v>
      </c>
      <c r="AK50" s="158">
        <f>SUM(AK51:AK57)</f>
        <v>22596</v>
      </c>
      <c r="AL50" s="111"/>
      <c r="AM50" s="111"/>
      <c r="AN50" s="2">
        <f t="shared" si="3"/>
        <v>0</v>
      </c>
      <c r="AP50" s="142">
        <f t="shared" si="1"/>
        <v>0</v>
      </c>
    </row>
    <row r="51" spans="1:42" s="2" customFormat="1" ht="51" x14ac:dyDescent="0.25">
      <c r="A51" s="46">
        <v>1</v>
      </c>
      <c r="B51" s="116" t="s">
        <v>427</v>
      </c>
      <c r="C51" s="41">
        <v>8011073</v>
      </c>
      <c r="D51" s="46" t="s">
        <v>137</v>
      </c>
      <c r="E51" s="40" t="s">
        <v>138</v>
      </c>
      <c r="F51" s="110"/>
      <c r="G51" s="110"/>
      <c r="H51" s="105" t="s">
        <v>428</v>
      </c>
      <c r="I51" s="116">
        <v>10000</v>
      </c>
      <c r="J51" s="116">
        <v>7000</v>
      </c>
      <c r="K51" s="42">
        <v>504</v>
      </c>
      <c r="L51" s="42">
        <v>504</v>
      </c>
      <c r="M51" s="42">
        <v>498</v>
      </c>
      <c r="N51" s="42">
        <v>498</v>
      </c>
      <c r="O51" s="42">
        <v>504</v>
      </c>
      <c r="P51" s="42">
        <v>504</v>
      </c>
      <c r="Q51" s="42">
        <v>504</v>
      </c>
      <c r="R51" s="42">
        <v>504</v>
      </c>
      <c r="S51" s="42">
        <v>504</v>
      </c>
      <c r="T51" s="42">
        <v>504</v>
      </c>
      <c r="U51" s="111"/>
      <c r="V51" s="116">
        <v>7000</v>
      </c>
      <c r="W51" s="112"/>
      <c r="X51" s="111"/>
      <c r="Y51" s="111"/>
      <c r="Z51" s="111"/>
      <c r="AA51" s="42">
        <v>504</v>
      </c>
      <c r="AB51" s="113"/>
      <c r="AC51" s="111"/>
      <c r="AD51" s="111"/>
      <c r="AE51" s="42">
        <f t="shared" si="5"/>
        <v>6496</v>
      </c>
      <c r="AF51" s="42">
        <f t="shared" si="6"/>
        <v>6496</v>
      </c>
      <c r="AG51" s="111"/>
      <c r="AH51" s="111"/>
      <c r="AI51" s="42">
        <v>2196</v>
      </c>
      <c r="AJ51" s="42">
        <v>2100</v>
      </c>
      <c r="AK51" s="42">
        <f>2100+96</f>
        <v>2196</v>
      </c>
      <c r="AL51" s="111"/>
      <c r="AM51" s="111"/>
      <c r="AN51" s="2">
        <f t="shared" si="3"/>
        <v>0</v>
      </c>
      <c r="AP51" s="142">
        <f t="shared" si="1"/>
        <v>0</v>
      </c>
    </row>
    <row r="52" spans="1:42" s="2" customFormat="1" ht="51" x14ac:dyDescent="0.25">
      <c r="A52" s="46">
        <v>2</v>
      </c>
      <c r="B52" s="116" t="s">
        <v>429</v>
      </c>
      <c r="C52" s="41">
        <v>8049437</v>
      </c>
      <c r="D52" s="46" t="s">
        <v>137</v>
      </c>
      <c r="E52" s="40" t="s">
        <v>138</v>
      </c>
      <c r="F52" s="110"/>
      <c r="G52" s="110"/>
      <c r="H52" s="46" t="s">
        <v>430</v>
      </c>
      <c r="I52" s="116">
        <v>6500</v>
      </c>
      <c r="J52" s="116">
        <v>5000</v>
      </c>
      <c r="K52" s="42">
        <v>304</v>
      </c>
      <c r="L52" s="42">
        <v>304</v>
      </c>
      <c r="M52" s="42"/>
      <c r="N52" s="42"/>
      <c r="O52" s="42">
        <v>304</v>
      </c>
      <c r="P52" s="42">
        <v>304</v>
      </c>
      <c r="Q52" s="42">
        <v>304</v>
      </c>
      <c r="R52" s="42">
        <v>304</v>
      </c>
      <c r="S52" s="42">
        <v>304</v>
      </c>
      <c r="T52" s="42">
        <v>304</v>
      </c>
      <c r="U52" s="111"/>
      <c r="V52" s="116">
        <v>5000</v>
      </c>
      <c r="W52" s="112"/>
      <c r="X52" s="111"/>
      <c r="Y52" s="111"/>
      <c r="Z52" s="111"/>
      <c r="AA52" s="42">
        <v>304</v>
      </c>
      <c r="AB52" s="113"/>
      <c r="AC52" s="111"/>
      <c r="AD52" s="111"/>
      <c r="AE52" s="42">
        <f t="shared" si="5"/>
        <v>4696</v>
      </c>
      <c r="AF52" s="42">
        <f t="shared" si="6"/>
        <v>4696</v>
      </c>
      <c r="AG52" s="111"/>
      <c r="AH52" s="111"/>
      <c r="AI52" s="42">
        <f t="shared" si="7"/>
        <v>1500</v>
      </c>
      <c r="AJ52" s="42">
        <v>1500</v>
      </c>
      <c r="AK52" s="42">
        <v>1500</v>
      </c>
      <c r="AL52" s="111"/>
      <c r="AM52" s="111"/>
      <c r="AN52" s="2">
        <f t="shared" si="3"/>
        <v>0</v>
      </c>
      <c r="AP52" s="142">
        <f t="shared" si="1"/>
        <v>0</v>
      </c>
    </row>
    <row r="53" spans="1:42" s="2" customFormat="1" ht="51" x14ac:dyDescent="0.25">
      <c r="A53" s="46">
        <v>3</v>
      </c>
      <c r="B53" s="116" t="s">
        <v>431</v>
      </c>
      <c r="C53" s="41">
        <v>8033865</v>
      </c>
      <c r="D53" s="46" t="s">
        <v>137</v>
      </c>
      <c r="E53" s="40" t="s">
        <v>138</v>
      </c>
      <c r="F53" s="110"/>
      <c r="G53" s="110"/>
      <c r="H53" s="105" t="s">
        <v>432</v>
      </c>
      <c r="I53" s="116">
        <v>9000</v>
      </c>
      <c r="J53" s="116">
        <v>9000</v>
      </c>
      <c r="K53" s="42">
        <v>333</v>
      </c>
      <c r="L53" s="42">
        <v>333</v>
      </c>
      <c r="M53" s="42"/>
      <c r="N53" s="42"/>
      <c r="O53" s="42">
        <v>333</v>
      </c>
      <c r="P53" s="42">
        <v>333</v>
      </c>
      <c r="Q53" s="42">
        <v>333</v>
      </c>
      <c r="R53" s="42">
        <v>333</v>
      </c>
      <c r="S53" s="42">
        <v>333</v>
      </c>
      <c r="T53" s="42">
        <v>333</v>
      </c>
      <c r="U53" s="111"/>
      <c r="V53" s="116">
        <v>9000</v>
      </c>
      <c r="W53" s="112"/>
      <c r="X53" s="111"/>
      <c r="Y53" s="111"/>
      <c r="Z53" s="111"/>
      <c r="AA53" s="42">
        <v>333</v>
      </c>
      <c r="AB53" s="113"/>
      <c r="AC53" s="111"/>
      <c r="AD53" s="111"/>
      <c r="AE53" s="42">
        <f t="shared" si="5"/>
        <v>8667</v>
      </c>
      <c r="AF53" s="42">
        <f t="shared" si="6"/>
        <v>8667</v>
      </c>
      <c r="AG53" s="111"/>
      <c r="AH53" s="111"/>
      <c r="AI53" s="42">
        <v>4500</v>
      </c>
      <c r="AJ53" s="42">
        <v>3000</v>
      </c>
      <c r="AK53" s="42">
        <v>4500</v>
      </c>
      <c r="AL53" s="111"/>
      <c r="AM53" s="111"/>
      <c r="AN53" s="2">
        <f t="shared" si="3"/>
        <v>0</v>
      </c>
      <c r="AP53" s="142">
        <f t="shared" si="1"/>
        <v>0</v>
      </c>
    </row>
    <row r="54" spans="1:42" s="2" customFormat="1" ht="51" x14ac:dyDescent="0.25">
      <c r="A54" s="46">
        <v>4</v>
      </c>
      <c r="B54" s="116" t="s">
        <v>433</v>
      </c>
      <c r="C54" s="41">
        <v>8031571</v>
      </c>
      <c r="D54" s="46" t="s">
        <v>137</v>
      </c>
      <c r="E54" s="40" t="s">
        <v>138</v>
      </c>
      <c r="F54" s="110"/>
      <c r="G54" s="110"/>
      <c r="H54" s="105" t="s">
        <v>434</v>
      </c>
      <c r="I54" s="116">
        <v>9000</v>
      </c>
      <c r="J54" s="116">
        <v>9000</v>
      </c>
      <c r="K54" s="42">
        <v>333</v>
      </c>
      <c r="L54" s="42">
        <v>333</v>
      </c>
      <c r="M54" s="42"/>
      <c r="N54" s="42"/>
      <c r="O54" s="42">
        <v>333</v>
      </c>
      <c r="P54" s="42">
        <v>333</v>
      </c>
      <c r="Q54" s="42">
        <v>333</v>
      </c>
      <c r="R54" s="42">
        <v>333</v>
      </c>
      <c r="S54" s="42">
        <v>333</v>
      </c>
      <c r="T54" s="42">
        <v>333</v>
      </c>
      <c r="U54" s="111"/>
      <c r="V54" s="116">
        <v>9000</v>
      </c>
      <c r="W54" s="112"/>
      <c r="X54" s="111"/>
      <c r="Y54" s="111"/>
      <c r="Z54" s="111"/>
      <c r="AA54" s="42">
        <v>333</v>
      </c>
      <c r="AB54" s="113"/>
      <c r="AC54" s="111"/>
      <c r="AD54" s="111"/>
      <c r="AE54" s="42">
        <f t="shared" si="5"/>
        <v>8667</v>
      </c>
      <c r="AF54" s="42">
        <f t="shared" si="6"/>
        <v>8667</v>
      </c>
      <c r="AG54" s="111"/>
      <c r="AH54" s="111"/>
      <c r="AI54" s="42">
        <v>4500</v>
      </c>
      <c r="AJ54" s="42">
        <v>3000</v>
      </c>
      <c r="AK54" s="42">
        <v>4500</v>
      </c>
      <c r="AL54" s="111"/>
      <c r="AM54" s="111"/>
      <c r="AN54" s="2">
        <f t="shared" si="3"/>
        <v>0</v>
      </c>
      <c r="AP54" s="142">
        <f t="shared" si="1"/>
        <v>0</v>
      </c>
    </row>
    <row r="55" spans="1:42" s="2" customFormat="1" ht="38.25" x14ac:dyDescent="0.25">
      <c r="A55" s="46">
        <v>5</v>
      </c>
      <c r="B55" s="116" t="s">
        <v>435</v>
      </c>
      <c r="C55" s="41">
        <v>8030555</v>
      </c>
      <c r="D55" s="46" t="s">
        <v>137</v>
      </c>
      <c r="E55" s="40" t="s">
        <v>138</v>
      </c>
      <c r="F55" s="110"/>
      <c r="G55" s="110"/>
      <c r="H55" s="105" t="s">
        <v>436</v>
      </c>
      <c r="I55" s="116">
        <v>10500</v>
      </c>
      <c r="J55" s="116">
        <v>7000</v>
      </c>
      <c r="K55" s="42">
        <v>350</v>
      </c>
      <c r="L55" s="42">
        <v>350</v>
      </c>
      <c r="M55" s="42"/>
      <c r="N55" s="42"/>
      <c r="O55" s="42">
        <v>350</v>
      </c>
      <c r="P55" s="42">
        <v>350</v>
      </c>
      <c r="Q55" s="42">
        <v>350</v>
      </c>
      <c r="R55" s="42">
        <v>350</v>
      </c>
      <c r="S55" s="42">
        <v>350</v>
      </c>
      <c r="T55" s="42">
        <v>350</v>
      </c>
      <c r="U55" s="111"/>
      <c r="V55" s="116">
        <v>7000</v>
      </c>
      <c r="W55" s="112"/>
      <c r="X55" s="111"/>
      <c r="Y55" s="111"/>
      <c r="Z55" s="111"/>
      <c r="AA55" s="42">
        <v>350</v>
      </c>
      <c r="AB55" s="113"/>
      <c r="AC55" s="111"/>
      <c r="AD55" s="111"/>
      <c r="AE55" s="42">
        <f t="shared" si="5"/>
        <v>6650</v>
      </c>
      <c r="AF55" s="42">
        <f t="shared" si="6"/>
        <v>6650</v>
      </c>
      <c r="AG55" s="111"/>
      <c r="AH55" s="111"/>
      <c r="AI55" s="42">
        <f t="shared" si="7"/>
        <v>2100</v>
      </c>
      <c r="AJ55" s="42">
        <v>2100</v>
      </c>
      <c r="AK55" s="42">
        <v>2100</v>
      </c>
      <c r="AL55" s="111"/>
      <c r="AM55" s="111"/>
      <c r="AN55" s="2">
        <f t="shared" si="3"/>
        <v>0</v>
      </c>
      <c r="AP55" s="142">
        <f t="shared" si="1"/>
        <v>0</v>
      </c>
    </row>
    <row r="56" spans="1:42" s="2" customFormat="1" ht="51" x14ac:dyDescent="0.25">
      <c r="A56" s="46">
        <v>6</v>
      </c>
      <c r="B56" s="116" t="s">
        <v>437</v>
      </c>
      <c r="C56" s="41">
        <v>8028586</v>
      </c>
      <c r="D56" s="46" t="s">
        <v>137</v>
      </c>
      <c r="E56" s="40" t="s">
        <v>138</v>
      </c>
      <c r="F56" s="110"/>
      <c r="G56" s="110"/>
      <c r="H56" s="105" t="s">
        <v>438</v>
      </c>
      <c r="I56" s="116">
        <v>18000</v>
      </c>
      <c r="J56" s="116">
        <v>16000</v>
      </c>
      <c r="K56" s="42">
        <v>450</v>
      </c>
      <c r="L56" s="42">
        <v>450</v>
      </c>
      <c r="M56" s="42"/>
      <c r="N56" s="42"/>
      <c r="O56" s="42">
        <v>450</v>
      </c>
      <c r="P56" s="42">
        <v>450</v>
      </c>
      <c r="Q56" s="42">
        <v>450</v>
      </c>
      <c r="R56" s="42">
        <v>450</v>
      </c>
      <c r="S56" s="42">
        <v>450</v>
      </c>
      <c r="T56" s="42">
        <v>450</v>
      </c>
      <c r="U56" s="111"/>
      <c r="V56" s="116">
        <v>16000</v>
      </c>
      <c r="W56" s="112"/>
      <c r="X56" s="111"/>
      <c r="Y56" s="111"/>
      <c r="Z56" s="111"/>
      <c r="AA56" s="42">
        <v>450</v>
      </c>
      <c r="AB56" s="113"/>
      <c r="AC56" s="111"/>
      <c r="AD56" s="111"/>
      <c r="AE56" s="42">
        <f t="shared" si="5"/>
        <v>15550</v>
      </c>
      <c r="AF56" s="42">
        <f t="shared" si="6"/>
        <v>15550</v>
      </c>
      <c r="AG56" s="111"/>
      <c r="AH56" s="111"/>
      <c r="AI56" s="42">
        <f t="shared" si="7"/>
        <v>4800</v>
      </c>
      <c r="AJ56" s="42">
        <v>4800</v>
      </c>
      <c r="AK56" s="42">
        <v>4800</v>
      </c>
      <c r="AL56" s="111"/>
      <c r="AM56" s="111"/>
      <c r="AN56" s="2">
        <f t="shared" si="3"/>
        <v>0</v>
      </c>
      <c r="AP56" s="142">
        <f t="shared" si="1"/>
        <v>0</v>
      </c>
    </row>
    <row r="57" spans="1:42" s="2" customFormat="1" ht="51" x14ac:dyDescent="0.25">
      <c r="A57" s="46">
        <v>7</v>
      </c>
      <c r="B57" s="116" t="s">
        <v>439</v>
      </c>
      <c r="C57" s="41">
        <v>8010617</v>
      </c>
      <c r="D57" s="46" t="s">
        <v>137</v>
      </c>
      <c r="E57" s="40" t="s">
        <v>138</v>
      </c>
      <c r="F57" s="110"/>
      <c r="G57" s="110"/>
      <c r="H57" s="105" t="s">
        <v>440</v>
      </c>
      <c r="I57" s="116">
        <v>10000</v>
      </c>
      <c r="J57" s="116">
        <v>10000</v>
      </c>
      <c r="K57" s="42">
        <v>350</v>
      </c>
      <c r="L57" s="42">
        <v>350</v>
      </c>
      <c r="M57" s="42">
        <v>350</v>
      </c>
      <c r="N57" s="42">
        <v>350</v>
      </c>
      <c r="O57" s="42">
        <v>350</v>
      </c>
      <c r="P57" s="42">
        <v>350</v>
      </c>
      <c r="Q57" s="42">
        <v>350</v>
      </c>
      <c r="R57" s="42">
        <v>350</v>
      </c>
      <c r="S57" s="42">
        <v>350</v>
      </c>
      <c r="T57" s="42">
        <v>350</v>
      </c>
      <c r="U57" s="111"/>
      <c r="V57" s="116">
        <v>10000</v>
      </c>
      <c r="W57" s="112"/>
      <c r="X57" s="111"/>
      <c r="Y57" s="111"/>
      <c r="Z57" s="111"/>
      <c r="AA57" s="42">
        <v>350</v>
      </c>
      <c r="AB57" s="113"/>
      <c r="AC57" s="111"/>
      <c r="AD57" s="111"/>
      <c r="AE57" s="42">
        <f t="shared" si="5"/>
        <v>9650</v>
      </c>
      <c r="AF57" s="42">
        <f t="shared" si="6"/>
        <v>9650</v>
      </c>
      <c r="AG57" s="111"/>
      <c r="AH57" s="111"/>
      <c r="AI57" s="42">
        <f t="shared" si="7"/>
        <v>3000</v>
      </c>
      <c r="AJ57" s="42">
        <v>3000</v>
      </c>
      <c r="AK57" s="42">
        <v>3000</v>
      </c>
      <c r="AL57" s="111"/>
      <c r="AM57" s="111"/>
      <c r="AN57" s="2">
        <f t="shared" si="3"/>
        <v>0</v>
      </c>
      <c r="AP57" s="142">
        <f t="shared" si="1"/>
        <v>0</v>
      </c>
    </row>
    <row r="58" spans="1:42" s="2" customFormat="1" ht="18.75" x14ac:dyDescent="0.25">
      <c r="A58" s="106" t="s">
        <v>191</v>
      </c>
      <c r="B58" s="149" t="s">
        <v>441</v>
      </c>
      <c r="C58" s="41"/>
      <c r="D58" s="106"/>
      <c r="E58" s="106"/>
      <c r="F58" s="110"/>
      <c r="G58" s="110"/>
      <c r="H58" s="105"/>
      <c r="I58" s="158">
        <f>SUM(I59:I65)</f>
        <v>58400</v>
      </c>
      <c r="J58" s="158">
        <f t="shared" ref="J58:AJ58" si="18">SUM(J59:J65)</f>
        <v>50000</v>
      </c>
      <c r="K58" s="158">
        <f t="shared" si="18"/>
        <v>2840</v>
      </c>
      <c r="L58" s="158">
        <f t="shared" si="18"/>
        <v>2840</v>
      </c>
      <c r="M58" s="158">
        <f t="shared" si="18"/>
        <v>518</v>
      </c>
      <c r="N58" s="158">
        <f t="shared" si="18"/>
        <v>518</v>
      </c>
      <c r="O58" s="158">
        <f t="shared" si="18"/>
        <v>2840</v>
      </c>
      <c r="P58" s="158">
        <f t="shared" si="18"/>
        <v>2840</v>
      </c>
      <c r="Q58" s="158">
        <f t="shared" si="18"/>
        <v>2840</v>
      </c>
      <c r="R58" s="158">
        <f t="shared" si="18"/>
        <v>2840</v>
      </c>
      <c r="S58" s="158">
        <f t="shared" si="18"/>
        <v>2840</v>
      </c>
      <c r="T58" s="158">
        <f t="shared" si="18"/>
        <v>2840</v>
      </c>
      <c r="U58" s="158">
        <f t="shared" si="18"/>
        <v>0</v>
      </c>
      <c r="V58" s="158">
        <f t="shared" si="18"/>
        <v>50000</v>
      </c>
      <c r="W58" s="158">
        <f t="shared" si="18"/>
        <v>0</v>
      </c>
      <c r="X58" s="158">
        <f t="shared" si="18"/>
        <v>0</v>
      </c>
      <c r="Y58" s="158">
        <f t="shared" si="18"/>
        <v>0</v>
      </c>
      <c r="Z58" s="158">
        <f t="shared" si="18"/>
        <v>0</v>
      </c>
      <c r="AA58" s="158">
        <f t="shared" si="18"/>
        <v>2840</v>
      </c>
      <c r="AB58" s="158">
        <f t="shared" si="18"/>
        <v>0</v>
      </c>
      <c r="AC58" s="158">
        <f t="shared" si="18"/>
        <v>0</v>
      </c>
      <c r="AD58" s="158">
        <f t="shared" si="18"/>
        <v>0</v>
      </c>
      <c r="AE58" s="158">
        <f t="shared" si="18"/>
        <v>47160</v>
      </c>
      <c r="AF58" s="158">
        <f t="shared" si="18"/>
        <v>47160</v>
      </c>
      <c r="AG58" s="158">
        <f t="shared" si="18"/>
        <v>0</v>
      </c>
      <c r="AH58" s="158">
        <f t="shared" si="18"/>
        <v>0</v>
      </c>
      <c r="AI58" s="158">
        <f t="shared" si="18"/>
        <v>15800</v>
      </c>
      <c r="AJ58" s="158">
        <f t="shared" si="18"/>
        <v>15000</v>
      </c>
      <c r="AK58" s="158">
        <f>SUM(AK59:AK65)</f>
        <v>15800</v>
      </c>
      <c r="AL58" s="158"/>
      <c r="AM58" s="111"/>
      <c r="AN58" s="2">
        <f t="shared" si="3"/>
        <v>0</v>
      </c>
      <c r="AP58" s="142">
        <f t="shared" si="1"/>
        <v>0</v>
      </c>
    </row>
    <row r="59" spans="1:42" s="2" customFormat="1" ht="51" x14ac:dyDescent="0.25">
      <c r="A59" s="46">
        <v>1</v>
      </c>
      <c r="B59" s="116" t="s">
        <v>442</v>
      </c>
      <c r="C59" s="41">
        <v>8019283</v>
      </c>
      <c r="D59" s="46" t="s">
        <v>443</v>
      </c>
      <c r="E59" s="40" t="s">
        <v>342</v>
      </c>
      <c r="F59" s="110"/>
      <c r="G59" s="110"/>
      <c r="H59" s="105" t="s">
        <v>444</v>
      </c>
      <c r="I59" s="116">
        <v>10000</v>
      </c>
      <c r="J59" s="116">
        <v>8000</v>
      </c>
      <c r="K59" s="42">
        <v>364</v>
      </c>
      <c r="L59" s="42">
        <v>364</v>
      </c>
      <c r="M59" s="42"/>
      <c r="N59" s="42"/>
      <c r="O59" s="42">
        <v>364</v>
      </c>
      <c r="P59" s="42">
        <v>364</v>
      </c>
      <c r="Q59" s="42">
        <v>364</v>
      </c>
      <c r="R59" s="42">
        <v>364</v>
      </c>
      <c r="S59" s="42">
        <v>364</v>
      </c>
      <c r="T59" s="42">
        <v>364</v>
      </c>
      <c r="U59" s="111"/>
      <c r="V59" s="116">
        <v>8000</v>
      </c>
      <c r="W59" s="112"/>
      <c r="X59" s="111"/>
      <c r="Y59" s="111"/>
      <c r="Z59" s="111"/>
      <c r="AA59" s="42">
        <v>364</v>
      </c>
      <c r="AB59" s="113"/>
      <c r="AC59" s="111"/>
      <c r="AD59" s="111"/>
      <c r="AE59" s="42">
        <f t="shared" si="5"/>
        <v>7636</v>
      </c>
      <c r="AF59" s="42">
        <f t="shared" si="6"/>
        <v>7636</v>
      </c>
      <c r="AG59" s="111"/>
      <c r="AH59" s="111"/>
      <c r="AI59" s="42">
        <f t="shared" si="7"/>
        <v>2400</v>
      </c>
      <c r="AJ59" s="42">
        <v>2400</v>
      </c>
      <c r="AK59" s="42">
        <v>2400</v>
      </c>
      <c r="AL59" s="111"/>
      <c r="AM59" s="111"/>
      <c r="AN59" s="2">
        <f t="shared" si="3"/>
        <v>0</v>
      </c>
      <c r="AP59" s="142">
        <f t="shared" si="1"/>
        <v>0</v>
      </c>
    </row>
    <row r="60" spans="1:42" s="2" customFormat="1" ht="51" x14ac:dyDescent="0.25">
      <c r="A60" s="46">
        <v>2</v>
      </c>
      <c r="B60" s="116" t="s">
        <v>445</v>
      </c>
      <c r="C60" s="41">
        <v>8019928</v>
      </c>
      <c r="D60" s="46" t="s">
        <v>443</v>
      </c>
      <c r="E60" s="40" t="s">
        <v>342</v>
      </c>
      <c r="F60" s="110"/>
      <c r="G60" s="110"/>
      <c r="H60" s="46" t="s">
        <v>446</v>
      </c>
      <c r="I60" s="116">
        <v>5000</v>
      </c>
      <c r="J60" s="116">
        <v>5000</v>
      </c>
      <c r="K60" s="42">
        <v>424</v>
      </c>
      <c r="L60" s="42">
        <v>424</v>
      </c>
      <c r="M60" s="42"/>
      <c r="N60" s="42"/>
      <c r="O60" s="42">
        <v>424</v>
      </c>
      <c r="P60" s="42">
        <v>424</v>
      </c>
      <c r="Q60" s="42">
        <v>424</v>
      </c>
      <c r="R60" s="42">
        <v>424</v>
      </c>
      <c r="S60" s="42">
        <v>424</v>
      </c>
      <c r="T60" s="42">
        <v>424</v>
      </c>
      <c r="U60" s="111"/>
      <c r="V60" s="116">
        <v>5000</v>
      </c>
      <c r="W60" s="112"/>
      <c r="X60" s="111"/>
      <c r="Y60" s="111"/>
      <c r="Z60" s="111"/>
      <c r="AA60" s="42">
        <v>424</v>
      </c>
      <c r="AB60" s="113"/>
      <c r="AC60" s="111"/>
      <c r="AD60" s="111"/>
      <c r="AE60" s="42">
        <f t="shared" si="5"/>
        <v>4576</v>
      </c>
      <c r="AF60" s="42">
        <f t="shared" si="6"/>
        <v>4576</v>
      </c>
      <c r="AG60" s="111"/>
      <c r="AH60" s="111"/>
      <c r="AI60" s="42">
        <f t="shared" si="7"/>
        <v>1500</v>
      </c>
      <c r="AJ60" s="42">
        <v>1500</v>
      </c>
      <c r="AK60" s="42">
        <v>1500</v>
      </c>
      <c r="AL60" s="111"/>
      <c r="AM60" s="111"/>
      <c r="AN60" s="2">
        <f t="shared" si="3"/>
        <v>0</v>
      </c>
      <c r="AP60" s="159">
        <f t="shared" si="1"/>
        <v>0</v>
      </c>
    </row>
    <row r="61" spans="1:42" s="2" customFormat="1" ht="51" x14ac:dyDescent="0.25">
      <c r="A61" s="46">
        <v>3</v>
      </c>
      <c r="B61" s="116" t="s">
        <v>447</v>
      </c>
      <c r="C61" s="41">
        <v>8019929</v>
      </c>
      <c r="D61" s="46" t="s">
        <v>341</v>
      </c>
      <c r="E61" s="40" t="s">
        <v>342</v>
      </c>
      <c r="F61" s="110"/>
      <c r="G61" s="110"/>
      <c r="H61" s="46" t="s">
        <v>448</v>
      </c>
      <c r="I61" s="116">
        <v>8000</v>
      </c>
      <c r="J61" s="116">
        <v>7000</v>
      </c>
      <c r="K61" s="42">
        <v>644</v>
      </c>
      <c r="L61" s="42">
        <v>644</v>
      </c>
      <c r="M61" s="42"/>
      <c r="N61" s="42"/>
      <c r="O61" s="42">
        <v>644</v>
      </c>
      <c r="P61" s="42">
        <v>644</v>
      </c>
      <c r="Q61" s="42">
        <v>644</v>
      </c>
      <c r="R61" s="42">
        <v>644</v>
      </c>
      <c r="S61" s="42">
        <v>644</v>
      </c>
      <c r="T61" s="42">
        <v>644</v>
      </c>
      <c r="U61" s="111"/>
      <c r="V61" s="116">
        <v>7000</v>
      </c>
      <c r="W61" s="112"/>
      <c r="X61" s="111"/>
      <c r="Y61" s="111"/>
      <c r="Z61" s="111"/>
      <c r="AA61" s="42">
        <v>644</v>
      </c>
      <c r="AB61" s="113"/>
      <c r="AC61" s="111"/>
      <c r="AD61" s="111"/>
      <c r="AE61" s="42">
        <f t="shared" si="5"/>
        <v>6356</v>
      </c>
      <c r="AF61" s="42">
        <f t="shared" si="6"/>
        <v>6356</v>
      </c>
      <c r="AG61" s="111"/>
      <c r="AH61" s="111"/>
      <c r="AI61" s="42">
        <v>3000</v>
      </c>
      <c r="AJ61" s="42">
        <v>2100</v>
      </c>
      <c r="AK61" s="42">
        <v>3000</v>
      </c>
      <c r="AL61" s="111"/>
      <c r="AM61" s="111"/>
      <c r="AN61" s="2">
        <f t="shared" si="3"/>
        <v>0</v>
      </c>
      <c r="AP61" s="159">
        <f t="shared" si="1"/>
        <v>0</v>
      </c>
    </row>
    <row r="62" spans="1:42" s="2" customFormat="1" ht="51" x14ac:dyDescent="0.25">
      <c r="A62" s="46">
        <v>4</v>
      </c>
      <c r="B62" s="116" t="s">
        <v>449</v>
      </c>
      <c r="C62" s="41">
        <v>8020000</v>
      </c>
      <c r="D62" s="46" t="s">
        <v>341</v>
      </c>
      <c r="E62" s="40" t="s">
        <v>342</v>
      </c>
      <c r="F62" s="110"/>
      <c r="G62" s="110"/>
      <c r="H62" s="46" t="s">
        <v>450</v>
      </c>
      <c r="I62" s="116">
        <v>5000</v>
      </c>
      <c r="J62" s="116">
        <v>5000</v>
      </c>
      <c r="K62" s="42">
        <v>273</v>
      </c>
      <c r="L62" s="42">
        <v>273</v>
      </c>
      <c r="M62" s="42">
        <v>245</v>
      </c>
      <c r="N62" s="42">
        <v>245</v>
      </c>
      <c r="O62" s="42">
        <v>273</v>
      </c>
      <c r="P62" s="42">
        <v>273</v>
      </c>
      <c r="Q62" s="42">
        <v>273</v>
      </c>
      <c r="R62" s="42">
        <v>273</v>
      </c>
      <c r="S62" s="42">
        <v>273</v>
      </c>
      <c r="T62" s="42">
        <v>273</v>
      </c>
      <c r="U62" s="111"/>
      <c r="V62" s="116">
        <v>5000</v>
      </c>
      <c r="W62" s="112"/>
      <c r="X62" s="111"/>
      <c r="Y62" s="111"/>
      <c r="Z62" s="111"/>
      <c r="AA62" s="42">
        <v>273</v>
      </c>
      <c r="AB62" s="113"/>
      <c r="AC62" s="111"/>
      <c r="AD62" s="111"/>
      <c r="AE62" s="42">
        <f t="shared" si="5"/>
        <v>4727</v>
      </c>
      <c r="AF62" s="42">
        <f t="shared" si="6"/>
        <v>4727</v>
      </c>
      <c r="AG62" s="111"/>
      <c r="AH62" s="111"/>
      <c r="AI62" s="42">
        <f t="shared" si="7"/>
        <v>1500</v>
      </c>
      <c r="AJ62" s="42">
        <v>1500</v>
      </c>
      <c r="AK62" s="42">
        <v>1500</v>
      </c>
      <c r="AL62" s="111"/>
      <c r="AM62" s="111"/>
      <c r="AN62" s="2">
        <f t="shared" si="3"/>
        <v>0</v>
      </c>
      <c r="AP62" s="159">
        <f t="shared" si="1"/>
        <v>0</v>
      </c>
    </row>
    <row r="63" spans="1:42" s="2" customFormat="1" ht="51" x14ac:dyDescent="0.25">
      <c r="A63" s="46">
        <v>5</v>
      </c>
      <c r="B63" s="116" t="s">
        <v>451</v>
      </c>
      <c r="C63" s="41">
        <v>8019754</v>
      </c>
      <c r="D63" s="46" t="s">
        <v>341</v>
      </c>
      <c r="E63" s="40" t="s">
        <v>89</v>
      </c>
      <c r="F63" s="110"/>
      <c r="G63" s="110"/>
      <c r="H63" s="46" t="s">
        <v>452</v>
      </c>
      <c r="I63" s="116">
        <v>10000</v>
      </c>
      <c r="J63" s="116">
        <v>7000</v>
      </c>
      <c r="K63" s="42">
        <v>351</v>
      </c>
      <c r="L63" s="42">
        <v>351</v>
      </c>
      <c r="M63" s="42"/>
      <c r="N63" s="42"/>
      <c r="O63" s="42">
        <v>351</v>
      </c>
      <c r="P63" s="42">
        <v>351</v>
      </c>
      <c r="Q63" s="42">
        <v>351</v>
      </c>
      <c r="R63" s="42">
        <v>351</v>
      </c>
      <c r="S63" s="42">
        <v>351</v>
      </c>
      <c r="T63" s="42">
        <v>351</v>
      </c>
      <c r="U63" s="111"/>
      <c r="V63" s="116">
        <v>7000</v>
      </c>
      <c r="W63" s="112"/>
      <c r="X63" s="111"/>
      <c r="Y63" s="111"/>
      <c r="Z63" s="111"/>
      <c r="AA63" s="42">
        <v>351</v>
      </c>
      <c r="AB63" s="113"/>
      <c r="AC63" s="111"/>
      <c r="AD63" s="111"/>
      <c r="AE63" s="42">
        <f t="shared" si="5"/>
        <v>6649</v>
      </c>
      <c r="AF63" s="42">
        <f t="shared" si="6"/>
        <v>6649</v>
      </c>
      <c r="AG63" s="111"/>
      <c r="AH63" s="111"/>
      <c r="AI63" s="42">
        <f t="shared" si="7"/>
        <v>2100</v>
      </c>
      <c r="AJ63" s="42">
        <v>2100</v>
      </c>
      <c r="AK63" s="42">
        <v>2100</v>
      </c>
      <c r="AL63" s="111"/>
      <c r="AM63" s="111"/>
      <c r="AN63" s="2">
        <f t="shared" si="3"/>
        <v>0</v>
      </c>
      <c r="AP63" s="142">
        <f t="shared" si="1"/>
        <v>0</v>
      </c>
    </row>
    <row r="64" spans="1:42" s="2" customFormat="1" ht="51" x14ac:dyDescent="0.25">
      <c r="A64" s="46">
        <v>6</v>
      </c>
      <c r="B64" s="116" t="s">
        <v>453</v>
      </c>
      <c r="C64" s="41">
        <v>8020002</v>
      </c>
      <c r="D64" s="46" t="s">
        <v>341</v>
      </c>
      <c r="E64" s="40" t="s">
        <v>342</v>
      </c>
      <c r="F64" s="110"/>
      <c r="G64" s="110"/>
      <c r="H64" s="46" t="s">
        <v>454</v>
      </c>
      <c r="I64" s="116">
        <v>6900</v>
      </c>
      <c r="J64" s="116">
        <v>6900</v>
      </c>
      <c r="K64" s="42">
        <v>279</v>
      </c>
      <c r="L64" s="42">
        <v>279</v>
      </c>
      <c r="M64" s="42">
        <v>273</v>
      </c>
      <c r="N64" s="42">
        <v>273</v>
      </c>
      <c r="O64" s="42">
        <v>279</v>
      </c>
      <c r="P64" s="42">
        <v>279</v>
      </c>
      <c r="Q64" s="42">
        <v>279</v>
      </c>
      <c r="R64" s="42">
        <v>279</v>
      </c>
      <c r="S64" s="42">
        <v>279</v>
      </c>
      <c r="T64" s="42">
        <v>279</v>
      </c>
      <c r="U64" s="111"/>
      <c r="V64" s="116">
        <v>6900</v>
      </c>
      <c r="W64" s="112"/>
      <c r="X64" s="111"/>
      <c r="Y64" s="111"/>
      <c r="Z64" s="111"/>
      <c r="AA64" s="42">
        <v>279</v>
      </c>
      <c r="AB64" s="113"/>
      <c r="AC64" s="111"/>
      <c r="AD64" s="111"/>
      <c r="AE64" s="42">
        <f t="shared" si="5"/>
        <v>6621</v>
      </c>
      <c r="AF64" s="42">
        <f t="shared" si="6"/>
        <v>6621</v>
      </c>
      <c r="AG64" s="111"/>
      <c r="AH64" s="111"/>
      <c r="AI64" s="42">
        <f>AK64</f>
        <v>2000</v>
      </c>
      <c r="AJ64" s="42">
        <v>2100</v>
      </c>
      <c r="AK64" s="42">
        <v>2000</v>
      </c>
      <c r="AL64" s="111"/>
      <c r="AM64" s="111"/>
      <c r="AN64" s="2">
        <f t="shared" si="3"/>
        <v>0</v>
      </c>
      <c r="AP64" s="160">
        <f t="shared" si="1"/>
        <v>0</v>
      </c>
    </row>
    <row r="65" spans="1:42" s="2" customFormat="1" ht="51" x14ac:dyDescent="0.25">
      <c r="A65" s="46">
        <v>7</v>
      </c>
      <c r="B65" s="116" t="s">
        <v>455</v>
      </c>
      <c r="C65" s="41">
        <v>8019752</v>
      </c>
      <c r="D65" s="46" t="s">
        <v>341</v>
      </c>
      <c r="E65" s="40" t="s">
        <v>342</v>
      </c>
      <c r="F65" s="110"/>
      <c r="G65" s="110"/>
      <c r="H65" s="46" t="s">
        <v>456</v>
      </c>
      <c r="I65" s="116">
        <v>13500</v>
      </c>
      <c r="J65" s="116">
        <v>11100</v>
      </c>
      <c r="K65" s="42">
        <v>505</v>
      </c>
      <c r="L65" s="42">
        <v>505</v>
      </c>
      <c r="M65" s="42"/>
      <c r="N65" s="42"/>
      <c r="O65" s="42">
        <v>505</v>
      </c>
      <c r="P65" s="42">
        <v>505</v>
      </c>
      <c r="Q65" s="42">
        <v>505</v>
      </c>
      <c r="R65" s="42">
        <v>505</v>
      </c>
      <c r="S65" s="42">
        <v>505</v>
      </c>
      <c r="T65" s="42">
        <v>505</v>
      </c>
      <c r="U65" s="111"/>
      <c r="V65" s="116">
        <v>11100</v>
      </c>
      <c r="W65" s="112"/>
      <c r="X65" s="111"/>
      <c r="Y65" s="111"/>
      <c r="Z65" s="111"/>
      <c r="AA65" s="42">
        <v>505</v>
      </c>
      <c r="AB65" s="113"/>
      <c r="AC65" s="111"/>
      <c r="AD65" s="111"/>
      <c r="AE65" s="42">
        <f t="shared" si="5"/>
        <v>10595</v>
      </c>
      <c r="AF65" s="42">
        <f t="shared" si="6"/>
        <v>10595</v>
      </c>
      <c r="AG65" s="111"/>
      <c r="AH65" s="111"/>
      <c r="AI65" s="42">
        <f t="shared" si="7"/>
        <v>3300</v>
      </c>
      <c r="AJ65" s="42">
        <v>3300</v>
      </c>
      <c r="AK65" s="42">
        <v>3300</v>
      </c>
      <c r="AL65" s="111"/>
      <c r="AM65" s="111"/>
      <c r="AN65" s="2">
        <f t="shared" si="3"/>
        <v>0</v>
      </c>
      <c r="AP65" s="142">
        <f t="shared" si="1"/>
        <v>0</v>
      </c>
    </row>
    <row r="66" spans="1:42" s="2" customFormat="1" ht="18.75" x14ac:dyDescent="0.25">
      <c r="A66" s="106" t="s">
        <v>196</v>
      </c>
      <c r="B66" s="157" t="s">
        <v>457</v>
      </c>
      <c r="C66" s="41"/>
      <c r="D66" s="106"/>
      <c r="E66" s="106"/>
      <c r="F66" s="110"/>
      <c r="G66" s="110"/>
      <c r="H66" s="105"/>
      <c r="I66" s="158">
        <f t="shared" ref="I66:AK66" si="19">SUM(I67:I70)</f>
        <v>60950</v>
      </c>
      <c r="J66" s="158">
        <f t="shared" si="19"/>
        <v>48626</v>
      </c>
      <c r="K66" s="158">
        <f t="shared" si="19"/>
        <v>1846</v>
      </c>
      <c r="L66" s="158">
        <f t="shared" si="19"/>
        <v>1846</v>
      </c>
      <c r="M66" s="158">
        <f t="shared" si="19"/>
        <v>0</v>
      </c>
      <c r="N66" s="158">
        <f t="shared" si="19"/>
        <v>0</v>
      </c>
      <c r="O66" s="158">
        <f t="shared" si="19"/>
        <v>1846</v>
      </c>
      <c r="P66" s="158">
        <f t="shared" si="19"/>
        <v>1846</v>
      </c>
      <c r="Q66" s="158">
        <f t="shared" si="19"/>
        <v>1846</v>
      </c>
      <c r="R66" s="158">
        <f t="shared" si="19"/>
        <v>1846</v>
      </c>
      <c r="S66" s="158">
        <f t="shared" si="19"/>
        <v>1846</v>
      </c>
      <c r="T66" s="158">
        <f t="shared" si="19"/>
        <v>1846</v>
      </c>
      <c r="U66" s="158">
        <f t="shared" si="19"/>
        <v>0</v>
      </c>
      <c r="V66" s="158">
        <f t="shared" si="19"/>
        <v>48626</v>
      </c>
      <c r="W66" s="158">
        <f t="shared" si="19"/>
        <v>0</v>
      </c>
      <c r="X66" s="158">
        <f t="shared" si="19"/>
        <v>0</v>
      </c>
      <c r="Y66" s="158">
        <f t="shared" si="19"/>
        <v>0</v>
      </c>
      <c r="Z66" s="158">
        <f t="shared" si="19"/>
        <v>0</v>
      </c>
      <c r="AA66" s="158">
        <f t="shared" si="19"/>
        <v>1846</v>
      </c>
      <c r="AB66" s="158">
        <f t="shared" si="19"/>
        <v>0</v>
      </c>
      <c r="AC66" s="158">
        <f t="shared" si="19"/>
        <v>0</v>
      </c>
      <c r="AD66" s="158">
        <f t="shared" si="19"/>
        <v>0</v>
      </c>
      <c r="AE66" s="158">
        <f t="shared" si="19"/>
        <v>46780</v>
      </c>
      <c r="AF66" s="158">
        <f t="shared" si="19"/>
        <v>46780</v>
      </c>
      <c r="AG66" s="158">
        <f t="shared" si="19"/>
        <v>0</v>
      </c>
      <c r="AH66" s="158">
        <f t="shared" si="19"/>
        <v>0</v>
      </c>
      <c r="AI66" s="158">
        <f t="shared" si="19"/>
        <v>14700</v>
      </c>
      <c r="AJ66" s="158">
        <f t="shared" si="19"/>
        <v>14700</v>
      </c>
      <c r="AK66" s="158">
        <f t="shared" si="19"/>
        <v>14700</v>
      </c>
      <c r="AL66" s="111"/>
      <c r="AM66" s="111"/>
      <c r="AN66" s="2">
        <f t="shared" si="3"/>
        <v>0</v>
      </c>
      <c r="AP66" s="142">
        <f t="shared" si="1"/>
        <v>0</v>
      </c>
    </row>
    <row r="67" spans="1:42" s="2" customFormat="1" ht="51" x14ac:dyDescent="0.25">
      <c r="A67" s="46">
        <v>1</v>
      </c>
      <c r="B67" s="116" t="s">
        <v>458</v>
      </c>
      <c r="C67" s="41">
        <v>8030969</v>
      </c>
      <c r="D67" s="46" t="s">
        <v>346</v>
      </c>
      <c r="E67" s="40" t="s">
        <v>347</v>
      </c>
      <c r="F67" s="110"/>
      <c r="G67" s="110"/>
      <c r="H67" s="105" t="s">
        <v>459</v>
      </c>
      <c r="I67" s="116">
        <v>14000</v>
      </c>
      <c r="J67" s="116">
        <v>10000</v>
      </c>
      <c r="K67" s="42">
        <v>514</v>
      </c>
      <c r="L67" s="42">
        <v>514</v>
      </c>
      <c r="M67" s="42"/>
      <c r="N67" s="42"/>
      <c r="O67" s="42">
        <v>514</v>
      </c>
      <c r="P67" s="42">
        <v>514</v>
      </c>
      <c r="Q67" s="42">
        <v>514</v>
      </c>
      <c r="R67" s="42">
        <v>514</v>
      </c>
      <c r="S67" s="42">
        <v>514</v>
      </c>
      <c r="T67" s="42">
        <v>514</v>
      </c>
      <c r="U67" s="111"/>
      <c r="V67" s="116">
        <v>10000</v>
      </c>
      <c r="W67" s="112"/>
      <c r="X67" s="111"/>
      <c r="Y67" s="111"/>
      <c r="Z67" s="111"/>
      <c r="AA67" s="42">
        <v>514</v>
      </c>
      <c r="AB67" s="113"/>
      <c r="AC67" s="111"/>
      <c r="AD67" s="111"/>
      <c r="AE67" s="42">
        <f t="shared" si="5"/>
        <v>9486</v>
      </c>
      <c r="AF67" s="42">
        <f t="shared" si="6"/>
        <v>9486</v>
      </c>
      <c r="AG67" s="111"/>
      <c r="AH67" s="111"/>
      <c r="AI67" s="42">
        <f t="shared" si="7"/>
        <v>3000</v>
      </c>
      <c r="AJ67" s="42">
        <v>3000</v>
      </c>
      <c r="AK67" s="42">
        <v>3000</v>
      </c>
      <c r="AL67" s="111"/>
      <c r="AM67" s="111"/>
      <c r="AN67" s="2">
        <f t="shared" si="3"/>
        <v>0</v>
      </c>
      <c r="AP67" s="142">
        <f t="shared" si="1"/>
        <v>0</v>
      </c>
    </row>
    <row r="68" spans="1:42" s="2" customFormat="1" ht="51" x14ac:dyDescent="0.25">
      <c r="A68" s="46">
        <v>2</v>
      </c>
      <c r="B68" s="116" t="s">
        <v>460</v>
      </c>
      <c r="C68" s="41">
        <v>8029261</v>
      </c>
      <c r="D68" s="46" t="s">
        <v>346</v>
      </c>
      <c r="E68" s="40" t="s">
        <v>347</v>
      </c>
      <c r="F68" s="110"/>
      <c r="G68" s="110"/>
      <c r="H68" s="105" t="s">
        <v>461</v>
      </c>
      <c r="I68" s="116">
        <v>12000</v>
      </c>
      <c r="J68" s="116">
        <v>8500</v>
      </c>
      <c r="K68" s="42">
        <v>539</v>
      </c>
      <c r="L68" s="42">
        <v>539</v>
      </c>
      <c r="M68" s="42"/>
      <c r="N68" s="42"/>
      <c r="O68" s="42">
        <v>539</v>
      </c>
      <c r="P68" s="42">
        <v>539</v>
      </c>
      <c r="Q68" s="42">
        <v>539</v>
      </c>
      <c r="R68" s="42">
        <v>539</v>
      </c>
      <c r="S68" s="42">
        <v>539</v>
      </c>
      <c r="T68" s="42">
        <v>539</v>
      </c>
      <c r="U68" s="111"/>
      <c r="V68" s="116">
        <v>8500</v>
      </c>
      <c r="W68" s="112"/>
      <c r="X68" s="111"/>
      <c r="Y68" s="111"/>
      <c r="Z68" s="111"/>
      <c r="AA68" s="42">
        <v>539</v>
      </c>
      <c r="AB68" s="113"/>
      <c r="AC68" s="111"/>
      <c r="AD68" s="111"/>
      <c r="AE68" s="42">
        <f t="shared" si="5"/>
        <v>7961</v>
      </c>
      <c r="AF68" s="42">
        <f t="shared" si="6"/>
        <v>7961</v>
      </c>
      <c r="AG68" s="111"/>
      <c r="AH68" s="111"/>
      <c r="AI68" s="42">
        <f t="shared" si="7"/>
        <v>2600</v>
      </c>
      <c r="AJ68" s="42">
        <v>2600</v>
      </c>
      <c r="AK68" s="42">
        <v>2600</v>
      </c>
      <c r="AL68" s="111"/>
      <c r="AM68" s="111"/>
      <c r="AN68" s="2">
        <f t="shared" si="3"/>
        <v>0</v>
      </c>
      <c r="AP68" s="142">
        <f t="shared" si="1"/>
        <v>0</v>
      </c>
    </row>
    <row r="69" spans="1:42" s="2" customFormat="1" ht="51" x14ac:dyDescent="0.25">
      <c r="A69" s="46">
        <v>3</v>
      </c>
      <c r="B69" s="116" t="s">
        <v>462</v>
      </c>
      <c r="C69" s="41">
        <v>8030970</v>
      </c>
      <c r="D69" s="46" t="s">
        <v>346</v>
      </c>
      <c r="E69" s="40" t="s">
        <v>347</v>
      </c>
      <c r="F69" s="110"/>
      <c r="G69" s="110"/>
      <c r="H69" s="105" t="s">
        <v>463</v>
      </c>
      <c r="I69" s="116">
        <v>14950</v>
      </c>
      <c r="J69" s="116">
        <v>12626</v>
      </c>
      <c r="K69" s="42">
        <v>519</v>
      </c>
      <c r="L69" s="42">
        <v>519</v>
      </c>
      <c r="M69" s="42"/>
      <c r="N69" s="42"/>
      <c r="O69" s="42">
        <v>519</v>
      </c>
      <c r="P69" s="42">
        <v>519</v>
      </c>
      <c r="Q69" s="42">
        <v>519</v>
      </c>
      <c r="R69" s="42">
        <v>519</v>
      </c>
      <c r="S69" s="42">
        <v>519</v>
      </c>
      <c r="T69" s="42">
        <v>519</v>
      </c>
      <c r="U69" s="111"/>
      <c r="V69" s="116">
        <v>12626</v>
      </c>
      <c r="W69" s="112"/>
      <c r="X69" s="111"/>
      <c r="Y69" s="111"/>
      <c r="Z69" s="111"/>
      <c r="AA69" s="42">
        <v>519</v>
      </c>
      <c r="AB69" s="113"/>
      <c r="AC69" s="111"/>
      <c r="AD69" s="111"/>
      <c r="AE69" s="42">
        <f t="shared" si="5"/>
        <v>12107</v>
      </c>
      <c r="AF69" s="42">
        <f t="shared" si="6"/>
        <v>12107</v>
      </c>
      <c r="AG69" s="111"/>
      <c r="AH69" s="111"/>
      <c r="AI69" s="42">
        <f t="shared" si="7"/>
        <v>3800</v>
      </c>
      <c r="AJ69" s="42">
        <v>3800</v>
      </c>
      <c r="AK69" s="42">
        <v>3800</v>
      </c>
      <c r="AL69" s="111"/>
      <c r="AM69" s="111"/>
      <c r="AN69" s="2">
        <f t="shared" si="3"/>
        <v>0</v>
      </c>
      <c r="AP69" s="142">
        <f t="shared" si="1"/>
        <v>0</v>
      </c>
    </row>
    <row r="70" spans="1:42" s="2" customFormat="1" ht="51" x14ac:dyDescent="0.25">
      <c r="A70" s="46">
        <v>4</v>
      </c>
      <c r="B70" s="116" t="s">
        <v>464</v>
      </c>
      <c r="C70" s="41">
        <v>8041532</v>
      </c>
      <c r="D70" s="46" t="s">
        <v>346</v>
      </c>
      <c r="E70" s="40" t="s">
        <v>347</v>
      </c>
      <c r="F70" s="110"/>
      <c r="G70" s="110"/>
      <c r="H70" s="105" t="s">
        <v>465</v>
      </c>
      <c r="I70" s="116">
        <v>20000</v>
      </c>
      <c r="J70" s="116">
        <v>17500</v>
      </c>
      <c r="K70" s="42">
        <v>274</v>
      </c>
      <c r="L70" s="42">
        <v>274</v>
      </c>
      <c r="M70" s="42"/>
      <c r="N70" s="42"/>
      <c r="O70" s="42">
        <v>274</v>
      </c>
      <c r="P70" s="42">
        <v>274</v>
      </c>
      <c r="Q70" s="42">
        <v>274</v>
      </c>
      <c r="R70" s="42">
        <v>274</v>
      </c>
      <c r="S70" s="42">
        <v>274</v>
      </c>
      <c r="T70" s="42">
        <v>274</v>
      </c>
      <c r="U70" s="111"/>
      <c r="V70" s="116">
        <v>17500</v>
      </c>
      <c r="W70" s="112"/>
      <c r="X70" s="111"/>
      <c r="Y70" s="111"/>
      <c r="Z70" s="111"/>
      <c r="AA70" s="42">
        <v>274</v>
      </c>
      <c r="AB70" s="113"/>
      <c r="AC70" s="111"/>
      <c r="AD70" s="111"/>
      <c r="AE70" s="42">
        <f t="shared" si="5"/>
        <v>17226</v>
      </c>
      <c r="AF70" s="42">
        <f t="shared" si="6"/>
        <v>17226</v>
      </c>
      <c r="AG70" s="111"/>
      <c r="AH70" s="111"/>
      <c r="AI70" s="42">
        <f t="shared" si="7"/>
        <v>5300</v>
      </c>
      <c r="AJ70" s="42">
        <v>5300</v>
      </c>
      <c r="AK70" s="42">
        <v>5300</v>
      </c>
      <c r="AL70" s="111"/>
      <c r="AM70" s="111"/>
      <c r="AN70" s="2">
        <f t="shared" si="3"/>
        <v>0</v>
      </c>
      <c r="AP70" s="142">
        <f t="shared" si="1"/>
        <v>0</v>
      </c>
    </row>
    <row r="71" spans="1:42" s="2" customFormat="1" ht="18.75" x14ac:dyDescent="0.25">
      <c r="A71" s="106" t="s">
        <v>201</v>
      </c>
      <c r="B71" s="157" t="s">
        <v>466</v>
      </c>
      <c r="C71" s="41"/>
      <c r="D71" s="106"/>
      <c r="E71" s="106"/>
      <c r="F71" s="110"/>
      <c r="G71" s="110"/>
      <c r="H71" s="105"/>
      <c r="I71" s="158">
        <f>SUM(I72:I76)</f>
        <v>48165</v>
      </c>
      <c r="J71" s="158">
        <f t="shared" ref="J71:AJ71" si="20">SUM(J72:J76)</f>
        <v>43265</v>
      </c>
      <c r="K71" s="158">
        <f t="shared" si="20"/>
        <v>1907</v>
      </c>
      <c r="L71" s="158">
        <f t="shared" si="20"/>
        <v>1907</v>
      </c>
      <c r="M71" s="158">
        <f t="shared" si="20"/>
        <v>0</v>
      </c>
      <c r="N71" s="158">
        <f t="shared" si="20"/>
        <v>0</v>
      </c>
      <c r="O71" s="158">
        <f t="shared" si="20"/>
        <v>1907</v>
      </c>
      <c r="P71" s="158">
        <f t="shared" si="20"/>
        <v>1907</v>
      </c>
      <c r="Q71" s="158">
        <f t="shared" si="20"/>
        <v>1907</v>
      </c>
      <c r="R71" s="158">
        <f t="shared" si="20"/>
        <v>1907</v>
      </c>
      <c r="S71" s="158">
        <f t="shared" si="20"/>
        <v>1907</v>
      </c>
      <c r="T71" s="158">
        <f t="shared" si="20"/>
        <v>1907</v>
      </c>
      <c r="U71" s="158">
        <f t="shared" si="20"/>
        <v>0</v>
      </c>
      <c r="V71" s="158">
        <f t="shared" si="20"/>
        <v>43265</v>
      </c>
      <c r="W71" s="158">
        <f t="shared" si="20"/>
        <v>0</v>
      </c>
      <c r="X71" s="158">
        <f t="shared" si="20"/>
        <v>0</v>
      </c>
      <c r="Y71" s="158">
        <f t="shared" si="20"/>
        <v>0</v>
      </c>
      <c r="Z71" s="158">
        <f t="shared" si="20"/>
        <v>0</v>
      </c>
      <c r="AA71" s="158">
        <f t="shared" si="20"/>
        <v>1907</v>
      </c>
      <c r="AB71" s="158">
        <f t="shared" si="20"/>
        <v>0</v>
      </c>
      <c r="AC71" s="158">
        <f t="shared" si="20"/>
        <v>0</v>
      </c>
      <c r="AD71" s="158">
        <f t="shared" si="20"/>
        <v>0</v>
      </c>
      <c r="AE71" s="158">
        <f t="shared" si="20"/>
        <v>41358</v>
      </c>
      <c r="AF71" s="158">
        <f t="shared" si="20"/>
        <v>41358</v>
      </c>
      <c r="AG71" s="158">
        <f t="shared" si="20"/>
        <v>0</v>
      </c>
      <c r="AH71" s="158">
        <f t="shared" si="20"/>
        <v>0</v>
      </c>
      <c r="AI71" s="158">
        <f t="shared" si="20"/>
        <v>12900</v>
      </c>
      <c r="AJ71" s="158">
        <f t="shared" si="20"/>
        <v>12900</v>
      </c>
      <c r="AK71" s="158">
        <f>SUM(AK72:AK76)</f>
        <v>12900</v>
      </c>
      <c r="AL71" s="111"/>
      <c r="AM71" s="111"/>
      <c r="AN71" s="2">
        <f t="shared" si="3"/>
        <v>0</v>
      </c>
      <c r="AP71" s="142">
        <f t="shared" si="1"/>
        <v>0</v>
      </c>
    </row>
    <row r="72" spans="1:42" s="2" customFormat="1" ht="51" x14ac:dyDescent="0.25">
      <c r="A72" s="46">
        <v>1</v>
      </c>
      <c r="B72" s="45" t="s">
        <v>467</v>
      </c>
      <c r="C72" s="41">
        <v>8034541</v>
      </c>
      <c r="D72" s="46" t="s">
        <v>188</v>
      </c>
      <c r="E72" s="40" t="s">
        <v>189</v>
      </c>
      <c r="F72" s="110"/>
      <c r="G72" s="110"/>
      <c r="H72" s="105" t="s">
        <v>468</v>
      </c>
      <c r="I72" s="109">
        <v>8000</v>
      </c>
      <c r="J72" s="102">
        <v>8000</v>
      </c>
      <c r="K72" s="42">
        <v>384</v>
      </c>
      <c r="L72" s="42">
        <v>384</v>
      </c>
      <c r="M72" s="42"/>
      <c r="N72" s="42"/>
      <c r="O72" s="42">
        <v>384</v>
      </c>
      <c r="P72" s="42">
        <v>384</v>
      </c>
      <c r="Q72" s="42">
        <v>384</v>
      </c>
      <c r="R72" s="42">
        <v>384</v>
      </c>
      <c r="S72" s="42">
        <v>384</v>
      </c>
      <c r="T72" s="42">
        <v>384</v>
      </c>
      <c r="U72" s="111"/>
      <c r="V72" s="102">
        <v>8000</v>
      </c>
      <c r="W72" s="112"/>
      <c r="X72" s="111"/>
      <c r="Y72" s="111"/>
      <c r="Z72" s="111"/>
      <c r="AA72" s="42">
        <v>384</v>
      </c>
      <c r="AB72" s="113"/>
      <c r="AC72" s="111"/>
      <c r="AD72" s="111"/>
      <c r="AE72" s="42">
        <f t="shared" si="5"/>
        <v>7616</v>
      </c>
      <c r="AF72" s="42">
        <f t="shared" ref="AF72:AF79" si="21">V72-AA72</f>
        <v>7616</v>
      </c>
      <c r="AG72" s="111"/>
      <c r="AH72" s="111"/>
      <c r="AI72" s="42">
        <f t="shared" si="7"/>
        <v>2400</v>
      </c>
      <c r="AJ72" s="42">
        <v>2400</v>
      </c>
      <c r="AK72" s="42">
        <v>2400</v>
      </c>
      <c r="AL72" s="111"/>
      <c r="AM72" s="111"/>
      <c r="AN72" s="2">
        <f t="shared" si="3"/>
        <v>0</v>
      </c>
      <c r="AP72" s="142">
        <f t="shared" si="1"/>
        <v>0</v>
      </c>
    </row>
    <row r="73" spans="1:42" s="2" customFormat="1" ht="51" x14ac:dyDescent="0.25">
      <c r="A73" s="46">
        <v>2</v>
      </c>
      <c r="B73" s="45" t="s">
        <v>469</v>
      </c>
      <c r="C73" s="41">
        <v>8036459</v>
      </c>
      <c r="D73" s="46" t="s">
        <v>188</v>
      </c>
      <c r="E73" s="40" t="s">
        <v>189</v>
      </c>
      <c r="F73" s="110"/>
      <c r="G73" s="110"/>
      <c r="H73" s="105" t="s">
        <v>470</v>
      </c>
      <c r="I73" s="109">
        <v>6840</v>
      </c>
      <c r="J73" s="102">
        <v>6840</v>
      </c>
      <c r="K73" s="42">
        <v>373</v>
      </c>
      <c r="L73" s="42">
        <v>373</v>
      </c>
      <c r="M73" s="42"/>
      <c r="N73" s="42"/>
      <c r="O73" s="42">
        <v>373</v>
      </c>
      <c r="P73" s="42">
        <v>373</v>
      </c>
      <c r="Q73" s="42">
        <v>373</v>
      </c>
      <c r="R73" s="42">
        <v>373</v>
      </c>
      <c r="S73" s="42">
        <v>373</v>
      </c>
      <c r="T73" s="42">
        <v>373</v>
      </c>
      <c r="U73" s="111"/>
      <c r="V73" s="102">
        <v>6840</v>
      </c>
      <c r="W73" s="112"/>
      <c r="X73" s="111"/>
      <c r="Y73" s="111"/>
      <c r="Z73" s="111"/>
      <c r="AA73" s="42">
        <v>373</v>
      </c>
      <c r="AB73" s="113"/>
      <c r="AC73" s="111"/>
      <c r="AD73" s="111"/>
      <c r="AE73" s="42">
        <f t="shared" si="5"/>
        <v>6467</v>
      </c>
      <c r="AF73" s="42">
        <f t="shared" si="21"/>
        <v>6467</v>
      </c>
      <c r="AG73" s="111"/>
      <c r="AH73" s="111"/>
      <c r="AI73" s="42">
        <f t="shared" si="7"/>
        <v>2000</v>
      </c>
      <c r="AJ73" s="42">
        <v>2000</v>
      </c>
      <c r="AK73" s="42">
        <v>2000</v>
      </c>
      <c r="AL73" s="111"/>
      <c r="AM73" s="111"/>
      <c r="AN73" s="2">
        <f t="shared" si="3"/>
        <v>0</v>
      </c>
      <c r="AP73" s="142">
        <f t="shared" si="1"/>
        <v>0</v>
      </c>
    </row>
    <row r="74" spans="1:42" s="2" customFormat="1" ht="51" x14ac:dyDescent="0.25">
      <c r="A74" s="46">
        <v>3</v>
      </c>
      <c r="B74" s="45" t="s">
        <v>471</v>
      </c>
      <c r="C74" s="41">
        <v>7926677</v>
      </c>
      <c r="D74" s="46" t="s">
        <v>188</v>
      </c>
      <c r="E74" s="40" t="s">
        <v>189</v>
      </c>
      <c r="F74" s="110"/>
      <c r="G74" s="110"/>
      <c r="H74" s="105" t="s">
        <v>472</v>
      </c>
      <c r="I74" s="109">
        <v>10000</v>
      </c>
      <c r="J74" s="102">
        <v>10000</v>
      </c>
      <c r="K74" s="42">
        <v>302</v>
      </c>
      <c r="L74" s="42">
        <v>302</v>
      </c>
      <c r="M74" s="42"/>
      <c r="N74" s="42"/>
      <c r="O74" s="42">
        <v>302</v>
      </c>
      <c r="P74" s="42">
        <v>302</v>
      </c>
      <c r="Q74" s="42">
        <v>302</v>
      </c>
      <c r="R74" s="42">
        <v>302</v>
      </c>
      <c r="S74" s="42">
        <v>302</v>
      </c>
      <c r="T74" s="42">
        <v>302</v>
      </c>
      <c r="U74" s="111"/>
      <c r="V74" s="102">
        <v>10000</v>
      </c>
      <c r="W74" s="112"/>
      <c r="X74" s="111"/>
      <c r="Y74" s="111"/>
      <c r="Z74" s="111"/>
      <c r="AA74" s="42">
        <v>302</v>
      </c>
      <c r="AB74" s="113"/>
      <c r="AC74" s="111"/>
      <c r="AD74" s="111"/>
      <c r="AE74" s="42">
        <f t="shared" si="5"/>
        <v>9698</v>
      </c>
      <c r="AF74" s="42">
        <f t="shared" si="21"/>
        <v>9698</v>
      </c>
      <c r="AG74" s="111"/>
      <c r="AH74" s="111"/>
      <c r="AI74" s="42">
        <f t="shared" si="7"/>
        <v>3000</v>
      </c>
      <c r="AJ74" s="42">
        <v>3000</v>
      </c>
      <c r="AK74" s="42">
        <v>3000</v>
      </c>
      <c r="AL74" s="111"/>
      <c r="AM74" s="111"/>
      <c r="AN74" s="2">
        <f t="shared" si="3"/>
        <v>0</v>
      </c>
      <c r="AP74" s="142">
        <f t="shared" si="1"/>
        <v>0</v>
      </c>
    </row>
    <row r="75" spans="1:42" s="2" customFormat="1" ht="51" x14ac:dyDescent="0.25">
      <c r="A75" s="46">
        <v>4</v>
      </c>
      <c r="B75" s="45" t="s">
        <v>473</v>
      </c>
      <c r="C75" s="41">
        <v>8037201</v>
      </c>
      <c r="D75" s="46" t="s">
        <v>188</v>
      </c>
      <c r="E75" s="40" t="s">
        <v>189</v>
      </c>
      <c r="F75" s="110"/>
      <c r="G75" s="110"/>
      <c r="H75" s="105" t="s">
        <v>474</v>
      </c>
      <c r="I75" s="109">
        <v>13325</v>
      </c>
      <c r="J75" s="102">
        <v>8425</v>
      </c>
      <c r="K75" s="42">
        <v>508</v>
      </c>
      <c r="L75" s="42">
        <v>508</v>
      </c>
      <c r="M75" s="42"/>
      <c r="N75" s="42"/>
      <c r="O75" s="42">
        <v>508</v>
      </c>
      <c r="P75" s="42">
        <v>508</v>
      </c>
      <c r="Q75" s="42">
        <v>508</v>
      </c>
      <c r="R75" s="42">
        <v>508</v>
      </c>
      <c r="S75" s="42">
        <v>508</v>
      </c>
      <c r="T75" s="42">
        <v>508</v>
      </c>
      <c r="U75" s="111"/>
      <c r="V75" s="102">
        <v>8425</v>
      </c>
      <c r="W75" s="112"/>
      <c r="X75" s="111"/>
      <c r="Y75" s="111"/>
      <c r="Z75" s="111"/>
      <c r="AA75" s="42">
        <v>508</v>
      </c>
      <c r="AB75" s="113"/>
      <c r="AC75" s="111"/>
      <c r="AD75" s="111"/>
      <c r="AE75" s="42">
        <f t="shared" si="5"/>
        <v>7917</v>
      </c>
      <c r="AF75" s="42">
        <f t="shared" si="21"/>
        <v>7917</v>
      </c>
      <c r="AG75" s="111"/>
      <c r="AH75" s="111"/>
      <c r="AI75" s="42">
        <f t="shared" si="7"/>
        <v>2500</v>
      </c>
      <c r="AJ75" s="42">
        <v>2500</v>
      </c>
      <c r="AK75" s="42">
        <v>2500</v>
      </c>
      <c r="AL75" s="111"/>
      <c r="AM75" s="111"/>
      <c r="AN75" s="2">
        <f t="shared" si="3"/>
        <v>0</v>
      </c>
      <c r="AP75" s="142">
        <f t="shared" ref="AP75:AP80" si="22">AI75-AK75</f>
        <v>0</v>
      </c>
    </row>
    <row r="76" spans="1:42" s="2" customFormat="1" ht="51" x14ac:dyDescent="0.25">
      <c r="A76" s="46">
        <v>5</v>
      </c>
      <c r="B76" s="45" t="s">
        <v>475</v>
      </c>
      <c r="C76" s="41">
        <v>8022181</v>
      </c>
      <c r="D76" s="46" t="s">
        <v>188</v>
      </c>
      <c r="E76" s="40" t="s">
        <v>189</v>
      </c>
      <c r="F76" s="110"/>
      <c r="G76" s="110"/>
      <c r="H76" s="105" t="s">
        <v>476</v>
      </c>
      <c r="I76" s="109">
        <v>10000</v>
      </c>
      <c r="J76" s="102">
        <v>10000</v>
      </c>
      <c r="K76" s="42">
        <v>340</v>
      </c>
      <c r="L76" s="42">
        <v>340</v>
      </c>
      <c r="M76" s="42"/>
      <c r="N76" s="42"/>
      <c r="O76" s="42">
        <v>340</v>
      </c>
      <c r="P76" s="42">
        <v>340</v>
      </c>
      <c r="Q76" s="42">
        <v>340</v>
      </c>
      <c r="R76" s="42">
        <v>340</v>
      </c>
      <c r="S76" s="42">
        <v>340</v>
      </c>
      <c r="T76" s="42">
        <v>340</v>
      </c>
      <c r="U76" s="111"/>
      <c r="V76" s="102">
        <v>10000</v>
      </c>
      <c r="W76" s="112"/>
      <c r="X76" s="111"/>
      <c r="Y76" s="111"/>
      <c r="Z76" s="111"/>
      <c r="AA76" s="42">
        <v>340</v>
      </c>
      <c r="AB76" s="113"/>
      <c r="AC76" s="111"/>
      <c r="AD76" s="111"/>
      <c r="AE76" s="42">
        <f t="shared" si="5"/>
        <v>9660</v>
      </c>
      <c r="AF76" s="42">
        <f t="shared" si="21"/>
        <v>9660</v>
      </c>
      <c r="AG76" s="111"/>
      <c r="AH76" s="111"/>
      <c r="AI76" s="42">
        <f t="shared" si="7"/>
        <v>3000</v>
      </c>
      <c r="AJ76" s="42">
        <v>3000</v>
      </c>
      <c r="AK76" s="42">
        <v>3000</v>
      </c>
      <c r="AL76" s="111"/>
      <c r="AM76" s="111"/>
      <c r="AN76" s="2">
        <f t="shared" ref="AN76:AN80" si="23">AK76-AI76</f>
        <v>0</v>
      </c>
      <c r="AP76" s="142">
        <f t="shared" si="22"/>
        <v>0</v>
      </c>
    </row>
    <row r="77" spans="1:42" s="2" customFormat="1" ht="18.75" x14ac:dyDescent="0.25">
      <c r="A77" s="106" t="s">
        <v>211</v>
      </c>
      <c r="B77" s="157" t="s">
        <v>477</v>
      </c>
      <c r="C77" s="41"/>
      <c r="D77" s="106"/>
      <c r="E77" s="106"/>
      <c r="F77" s="110"/>
      <c r="G77" s="110"/>
      <c r="H77" s="105"/>
      <c r="I77" s="158">
        <f t="shared" ref="I77:AL77" si="24">SUM(I78:I80)</f>
        <v>89000</v>
      </c>
      <c r="J77" s="158">
        <f t="shared" si="24"/>
        <v>89000</v>
      </c>
      <c r="K77" s="158">
        <f t="shared" si="24"/>
        <v>1805</v>
      </c>
      <c r="L77" s="158">
        <f t="shared" si="24"/>
        <v>1805</v>
      </c>
      <c r="M77" s="158">
        <f t="shared" si="24"/>
        <v>95</v>
      </c>
      <c r="N77" s="158">
        <f t="shared" si="24"/>
        <v>95</v>
      </c>
      <c r="O77" s="158">
        <f t="shared" si="24"/>
        <v>1083</v>
      </c>
      <c r="P77" s="158">
        <f t="shared" si="24"/>
        <v>1083</v>
      </c>
      <c r="Q77" s="158">
        <f t="shared" si="24"/>
        <v>1305</v>
      </c>
      <c r="R77" s="158">
        <f t="shared" si="24"/>
        <v>1305</v>
      </c>
      <c r="S77" s="158">
        <f t="shared" si="24"/>
        <v>1805</v>
      </c>
      <c r="T77" s="158">
        <f t="shared" si="24"/>
        <v>1805</v>
      </c>
      <c r="U77" s="158">
        <f t="shared" si="24"/>
        <v>0</v>
      </c>
      <c r="V77" s="158">
        <f t="shared" si="24"/>
        <v>89000</v>
      </c>
      <c r="W77" s="158">
        <f t="shared" si="24"/>
        <v>0</v>
      </c>
      <c r="X77" s="158">
        <f t="shared" si="24"/>
        <v>0</v>
      </c>
      <c r="Y77" s="158">
        <f t="shared" si="24"/>
        <v>0</v>
      </c>
      <c r="Z77" s="158">
        <f t="shared" si="24"/>
        <v>0</v>
      </c>
      <c r="AA77" s="158">
        <f t="shared" si="24"/>
        <v>1305</v>
      </c>
      <c r="AB77" s="158">
        <f t="shared" si="24"/>
        <v>0</v>
      </c>
      <c r="AC77" s="158">
        <f t="shared" si="24"/>
        <v>0</v>
      </c>
      <c r="AD77" s="158">
        <f t="shared" si="24"/>
        <v>0</v>
      </c>
      <c r="AE77" s="158">
        <f t="shared" si="24"/>
        <v>87195</v>
      </c>
      <c r="AF77" s="158">
        <f t="shared" si="24"/>
        <v>87195</v>
      </c>
      <c r="AG77" s="158">
        <f t="shared" si="24"/>
        <v>0</v>
      </c>
      <c r="AH77" s="158">
        <f t="shared" si="24"/>
        <v>0</v>
      </c>
      <c r="AI77" s="158">
        <f t="shared" si="24"/>
        <v>28700</v>
      </c>
      <c r="AJ77" s="158">
        <f t="shared" si="24"/>
        <v>26700</v>
      </c>
      <c r="AK77" s="158">
        <f t="shared" si="24"/>
        <v>28700</v>
      </c>
      <c r="AL77" s="158">
        <f t="shared" si="24"/>
        <v>0</v>
      </c>
      <c r="AM77" s="111"/>
      <c r="AN77" s="2">
        <f t="shared" si="23"/>
        <v>0</v>
      </c>
      <c r="AP77" s="142">
        <f t="shared" si="22"/>
        <v>0</v>
      </c>
    </row>
    <row r="78" spans="1:42" s="2" customFormat="1" ht="38.25" x14ac:dyDescent="0.25">
      <c r="A78" s="46">
        <v>1</v>
      </c>
      <c r="B78" s="38" t="s">
        <v>478</v>
      </c>
      <c r="C78" s="41">
        <v>7940849</v>
      </c>
      <c r="D78" s="46" t="s">
        <v>40</v>
      </c>
      <c r="E78" s="80" t="s">
        <v>42</v>
      </c>
      <c r="F78" s="110"/>
      <c r="G78" s="110"/>
      <c r="H78" s="105" t="s">
        <v>479</v>
      </c>
      <c r="I78" s="102">
        <v>60000</v>
      </c>
      <c r="J78" s="102">
        <v>60000</v>
      </c>
      <c r="K78" s="42">
        <v>1021</v>
      </c>
      <c r="L78" s="42">
        <v>1021</v>
      </c>
      <c r="M78" s="42">
        <v>4</v>
      </c>
      <c r="N78" s="42">
        <v>4</v>
      </c>
      <c r="O78" s="42">
        <f>K78*0.6</f>
        <v>612.6</v>
      </c>
      <c r="P78" s="42">
        <f>L78*0.6</f>
        <v>612.6</v>
      </c>
      <c r="Q78" s="42">
        <v>521</v>
      </c>
      <c r="R78" s="42">
        <v>521</v>
      </c>
      <c r="S78" s="42">
        <v>1021</v>
      </c>
      <c r="T78" s="42">
        <v>1021</v>
      </c>
      <c r="U78" s="111"/>
      <c r="V78" s="102">
        <v>60000</v>
      </c>
      <c r="W78" s="112"/>
      <c r="X78" s="111"/>
      <c r="Y78" s="111"/>
      <c r="Z78" s="111"/>
      <c r="AA78" s="42">
        <v>521</v>
      </c>
      <c r="AB78" s="113"/>
      <c r="AC78" s="111"/>
      <c r="AD78" s="111"/>
      <c r="AE78" s="42">
        <f t="shared" si="5"/>
        <v>58979</v>
      </c>
      <c r="AF78" s="42">
        <f>J78-T78</f>
        <v>58979</v>
      </c>
      <c r="AG78" s="111"/>
      <c r="AH78" s="111"/>
      <c r="AI78" s="42">
        <v>20000</v>
      </c>
      <c r="AJ78" s="42">
        <v>18000</v>
      </c>
      <c r="AK78" s="42">
        <v>20000</v>
      </c>
      <c r="AL78" s="111"/>
      <c r="AM78" s="111"/>
      <c r="AN78" s="2">
        <f t="shared" si="23"/>
        <v>0</v>
      </c>
      <c r="AP78" s="142">
        <f t="shared" si="22"/>
        <v>0</v>
      </c>
    </row>
    <row r="79" spans="1:42" s="2" customFormat="1" ht="38.25" x14ac:dyDescent="0.25">
      <c r="A79" s="46">
        <v>2</v>
      </c>
      <c r="B79" s="38" t="s">
        <v>480</v>
      </c>
      <c r="C79" s="41">
        <v>7940848</v>
      </c>
      <c r="D79" s="46" t="s">
        <v>40</v>
      </c>
      <c r="E79" s="80" t="s">
        <v>42</v>
      </c>
      <c r="F79" s="110"/>
      <c r="G79" s="110"/>
      <c r="H79" s="105" t="s">
        <v>481</v>
      </c>
      <c r="I79" s="102">
        <v>18000</v>
      </c>
      <c r="J79" s="102">
        <v>18000</v>
      </c>
      <c r="K79" s="42">
        <v>313</v>
      </c>
      <c r="L79" s="42">
        <v>313</v>
      </c>
      <c r="M79" s="42">
        <v>91</v>
      </c>
      <c r="N79" s="42">
        <v>91</v>
      </c>
      <c r="O79" s="42">
        <f t="shared" ref="O79:P79" si="25">K79*0.6</f>
        <v>187.79999999999998</v>
      </c>
      <c r="P79" s="42">
        <f t="shared" si="25"/>
        <v>187.79999999999998</v>
      </c>
      <c r="Q79" s="42">
        <v>313</v>
      </c>
      <c r="R79" s="42">
        <v>313</v>
      </c>
      <c r="S79" s="42">
        <v>313</v>
      </c>
      <c r="T79" s="42">
        <v>313</v>
      </c>
      <c r="U79" s="111"/>
      <c r="V79" s="102">
        <v>18000</v>
      </c>
      <c r="W79" s="112"/>
      <c r="X79" s="111"/>
      <c r="Y79" s="111"/>
      <c r="Z79" s="111"/>
      <c r="AA79" s="42">
        <v>313</v>
      </c>
      <c r="AB79" s="113"/>
      <c r="AC79" s="111"/>
      <c r="AD79" s="111"/>
      <c r="AE79" s="42">
        <f t="shared" si="5"/>
        <v>17687</v>
      </c>
      <c r="AF79" s="42">
        <f t="shared" si="21"/>
        <v>17687</v>
      </c>
      <c r="AG79" s="111"/>
      <c r="AH79" s="111"/>
      <c r="AI79" s="42">
        <f t="shared" si="7"/>
        <v>5400</v>
      </c>
      <c r="AJ79" s="42">
        <v>5400</v>
      </c>
      <c r="AK79" s="42">
        <v>5400</v>
      </c>
      <c r="AL79" s="111"/>
      <c r="AM79" s="111"/>
      <c r="AN79" s="2">
        <f t="shared" si="23"/>
        <v>0</v>
      </c>
      <c r="AP79" s="142">
        <f t="shared" si="22"/>
        <v>0</v>
      </c>
    </row>
    <row r="80" spans="1:42" s="2" customFormat="1" ht="51" x14ac:dyDescent="0.25">
      <c r="A80" s="46">
        <v>3</v>
      </c>
      <c r="B80" s="38" t="s">
        <v>482</v>
      </c>
      <c r="C80" s="41">
        <v>7940853</v>
      </c>
      <c r="D80" s="46" t="s">
        <v>172</v>
      </c>
      <c r="E80" s="80" t="s">
        <v>42</v>
      </c>
      <c r="F80" s="110"/>
      <c r="G80" s="110"/>
      <c r="H80" s="105" t="s">
        <v>483</v>
      </c>
      <c r="I80" s="102">
        <v>11000</v>
      </c>
      <c r="J80" s="102">
        <v>11000</v>
      </c>
      <c r="K80" s="42">
        <v>471</v>
      </c>
      <c r="L80" s="42">
        <v>471</v>
      </c>
      <c r="M80" s="42"/>
      <c r="N80" s="42"/>
      <c r="O80" s="42">
        <f>K80*0.6</f>
        <v>282.59999999999997</v>
      </c>
      <c r="P80" s="42">
        <f>L80*0.6</f>
        <v>282.59999999999997</v>
      </c>
      <c r="Q80" s="42">
        <v>471</v>
      </c>
      <c r="R80" s="42">
        <v>471</v>
      </c>
      <c r="S80" s="42">
        <v>471</v>
      </c>
      <c r="T80" s="42">
        <v>471</v>
      </c>
      <c r="U80" s="111"/>
      <c r="V80" s="102">
        <v>11000</v>
      </c>
      <c r="W80" s="112"/>
      <c r="X80" s="111"/>
      <c r="Y80" s="111"/>
      <c r="Z80" s="111"/>
      <c r="AA80" s="42">
        <v>471</v>
      </c>
      <c r="AB80" s="113"/>
      <c r="AC80" s="111"/>
      <c r="AD80" s="111"/>
      <c r="AE80" s="42">
        <f>AF80</f>
        <v>10529</v>
      </c>
      <c r="AF80" s="42">
        <f>V80-AA80</f>
        <v>10529</v>
      </c>
      <c r="AG80" s="111"/>
      <c r="AH80" s="111"/>
      <c r="AI80" s="42">
        <f>AJ80</f>
        <v>3300</v>
      </c>
      <c r="AJ80" s="42">
        <v>3300</v>
      </c>
      <c r="AK80" s="42">
        <v>3300</v>
      </c>
      <c r="AL80" s="111"/>
      <c r="AM80" s="111"/>
      <c r="AN80" s="2">
        <f t="shared" si="23"/>
        <v>0</v>
      </c>
      <c r="AP80" s="142">
        <f t="shared" si="22"/>
        <v>0</v>
      </c>
    </row>
    <row r="81" spans="1:42" s="2" customFormat="1" ht="18.75" x14ac:dyDescent="0.25">
      <c r="A81" s="106" t="s">
        <v>216</v>
      </c>
      <c r="B81" s="157" t="s">
        <v>484</v>
      </c>
      <c r="C81" s="41"/>
      <c r="D81" s="157"/>
      <c r="E81" s="157"/>
      <c r="F81" s="110"/>
      <c r="G81" s="110"/>
      <c r="H81" s="105"/>
      <c r="I81" s="161">
        <f>SUM(I82)</f>
        <v>14800</v>
      </c>
      <c r="J81" s="161">
        <f t="shared" ref="J81:AM81" si="26">SUM(J82)</f>
        <v>14800</v>
      </c>
      <c r="K81" s="161">
        <f t="shared" si="26"/>
        <v>0</v>
      </c>
      <c r="L81" s="161">
        <f t="shared" si="26"/>
        <v>0</v>
      </c>
      <c r="M81" s="161">
        <f t="shared" si="26"/>
        <v>0</v>
      </c>
      <c r="N81" s="161">
        <f t="shared" si="26"/>
        <v>0</v>
      </c>
      <c r="O81" s="161" t="e">
        <f t="shared" si="26"/>
        <v>#VALUE!</v>
      </c>
      <c r="P81" s="161">
        <f t="shared" si="26"/>
        <v>0</v>
      </c>
      <c r="Q81" s="161">
        <f t="shared" si="26"/>
        <v>0</v>
      </c>
      <c r="R81" s="161">
        <f t="shared" si="26"/>
        <v>0</v>
      </c>
      <c r="S81" s="161">
        <f t="shared" si="26"/>
        <v>0</v>
      </c>
      <c r="T81" s="161">
        <f t="shared" si="26"/>
        <v>0</v>
      </c>
      <c r="U81" s="161">
        <f t="shared" si="26"/>
        <v>1600</v>
      </c>
      <c r="V81" s="161">
        <f t="shared" si="26"/>
        <v>0</v>
      </c>
      <c r="W81" s="161">
        <f t="shared" si="26"/>
        <v>0</v>
      </c>
      <c r="X81" s="161">
        <f t="shared" si="26"/>
        <v>0</v>
      </c>
      <c r="Y81" s="161">
        <f t="shared" si="26"/>
        <v>0</v>
      </c>
      <c r="Z81" s="161">
        <f t="shared" si="26"/>
        <v>0</v>
      </c>
      <c r="AA81" s="161">
        <f t="shared" si="26"/>
        <v>0</v>
      </c>
      <c r="AB81" s="161">
        <f t="shared" si="26"/>
        <v>0</v>
      </c>
      <c r="AC81" s="161">
        <f t="shared" si="26"/>
        <v>0</v>
      </c>
      <c r="AD81" s="161">
        <f t="shared" si="26"/>
        <v>0</v>
      </c>
      <c r="AE81" s="161">
        <f t="shared" si="26"/>
        <v>0</v>
      </c>
      <c r="AF81" s="161">
        <f t="shared" si="26"/>
        <v>0</v>
      </c>
      <c r="AG81" s="161">
        <f t="shared" si="26"/>
        <v>0</v>
      </c>
      <c r="AH81" s="161">
        <f t="shared" si="26"/>
        <v>0</v>
      </c>
      <c r="AI81" s="161">
        <f t="shared" si="26"/>
        <v>1600</v>
      </c>
      <c r="AJ81" s="161">
        <f t="shared" si="26"/>
        <v>0</v>
      </c>
      <c r="AK81" s="161">
        <f t="shared" si="26"/>
        <v>0</v>
      </c>
      <c r="AL81" s="161">
        <f t="shared" si="26"/>
        <v>1600</v>
      </c>
      <c r="AM81" s="161">
        <f t="shared" si="26"/>
        <v>0</v>
      </c>
      <c r="AP81" s="142"/>
    </row>
    <row r="82" spans="1:42" s="2" customFormat="1" ht="51" x14ac:dyDescent="0.25">
      <c r="A82" s="46">
        <v>1</v>
      </c>
      <c r="B82" s="38" t="s">
        <v>485</v>
      </c>
      <c r="C82" s="41"/>
      <c r="D82" s="46" t="s">
        <v>319</v>
      </c>
      <c r="E82" s="80" t="s">
        <v>484</v>
      </c>
      <c r="F82" s="110"/>
      <c r="G82" s="110">
        <v>14800</v>
      </c>
      <c r="H82" s="105" t="s">
        <v>486</v>
      </c>
      <c r="I82" s="102">
        <v>14800</v>
      </c>
      <c r="J82" s="102">
        <v>14800</v>
      </c>
      <c r="K82" s="42"/>
      <c r="L82" s="42"/>
      <c r="M82" s="42"/>
      <c r="N82" s="42"/>
      <c r="O82" s="42" t="e">
        <f t="shared" ref="O82" si="27">H82-K82</f>
        <v>#VALUE!</v>
      </c>
      <c r="P82" s="42"/>
      <c r="Q82" s="42"/>
      <c r="R82" s="42"/>
      <c r="S82" s="42"/>
      <c r="T82" s="42"/>
      <c r="U82" s="111">
        <v>1600</v>
      </c>
      <c r="V82" s="102"/>
      <c r="W82" s="112"/>
      <c r="X82" s="111"/>
      <c r="Y82" s="111"/>
      <c r="Z82" s="111"/>
      <c r="AA82" s="42"/>
      <c r="AB82" s="113"/>
      <c r="AC82" s="111"/>
      <c r="AD82" s="111"/>
      <c r="AE82" s="42"/>
      <c r="AF82" s="42"/>
      <c r="AG82" s="111"/>
      <c r="AH82" s="111"/>
      <c r="AI82" s="42">
        <f>AK82+AL82</f>
        <v>1600</v>
      </c>
      <c r="AJ82" s="42"/>
      <c r="AK82" s="42"/>
      <c r="AL82" s="42">
        <v>1600</v>
      </c>
      <c r="AM82" s="111"/>
      <c r="AP82" s="142"/>
    </row>
    <row r="83" spans="1:42" s="2" customFormat="1" ht="18.75" x14ac:dyDescent="0.25">
      <c r="A83" s="106" t="s">
        <v>487</v>
      </c>
      <c r="B83" s="149" t="s">
        <v>488</v>
      </c>
      <c r="C83" s="41"/>
      <c r="D83" s="106"/>
      <c r="E83" s="106"/>
      <c r="F83" s="110"/>
      <c r="G83" s="110"/>
      <c r="H83" s="105"/>
      <c r="I83" s="150">
        <f>+I84+I86+I89+I91+I94+I96</f>
        <v>164223</v>
      </c>
      <c r="J83" s="150">
        <f>+J84+J86+J89+J91+J94+J96</f>
        <v>156223</v>
      </c>
      <c r="K83" s="150">
        <f>+K84+K86+K89+K91+K94+K96</f>
        <v>6283</v>
      </c>
      <c r="L83" s="150">
        <f>+L84+L86+L89+L91+L94+L96</f>
        <v>6283</v>
      </c>
      <c r="M83" s="150" t="e">
        <f>+M84+M86+#REF!+M89+M91+M94+M96+#REF!</f>
        <v>#REF!</v>
      </c>
      <c r="N83" s="150" t="e">
        <f>+N84+N86+#REF!+N89+N91+N94+N96+#REF!</f>
        <v>#REF!</v>
      </c>
      <c r="O83" s="150" t="e">
        <f>+O84+O86+#REF!+O89+O91+O94+O96+#REF!</f>
        <v>#REF!</v>
      </c>
      <c r="P83" s="150" t="e">
        <f>+P84+P86+#REF!+P89+P91+P94+P96+#REF!</f>
        <v>#REF!</v>
      </c>
      <c r="Q83" s="150" t="e">
        <f>+Q84+Q86+#REF!+Q89+Q91+Q94+Q96+#REF!</f>
        <v>#REF!</v>
      </c>
      <c r="R83" s="150" t="e">
        <f>+R84+R86+#REF!+R89+R91+R94+R96+#REF!</f>
        <v>#REF!</v>
      </c>
      <c r="S83" s="150">
        <f>+S84+S86+S89+S91+S94+S96</f>
        <v>6283</v>
      </c>
      <c r="T83" s="150">
        <f>+T84+T86+T89+T91+T94+T96</f>
        <v>6283</v>
      </c>
      <c r="U83" s="150" t="e">
        <f>+U84+U86+#REF!+U89+U91+U94+U96+#REF!</f>
        <v>#REF!</v>
      </c>
      <c r="V83" s="150" t="e">
        <f>+V84+V86+#REF!+V89+V91+V94+V96+#REF!</f>
        <v>#REF!</v>
      </c>
      <c r="W83" s="150" t="e">
        <f>+W84+W86+#REF!+W89+W91+W94+W96+#REF!</f>
        <v>#REF!</v>
      </c>
      <c r="X83" s="150" t="e">
        <f>+X84+X86+#REF!+X89+X91+X94+X96+#REF!</f>
        <v>#REF!</v>
      </c>
      <c r="Y83" s="150" t="e">
        <f>+Y84+Y86+#REF!+Y89+Y91+Y94+Y96+#REF!</f>
        <v>#REF!</v>
      </c>
      <c r="Z83" s="150" t="e">
        <f>+Z84+Z86+#REF!+Z89+Z91+Z94+Z96+#REF!</f>
        <v>#REF!</v>
      </c>
      <c r="AA83" s="150" t="e">
        <f>+AA84+AA86+#REF!+AA89+AA91+AA94+AA96+#REF!</f>
        <v>#REF!</v>
      </c>
      <c r="AB83" s="150" t="e">
        <f>+AB84+AB86+#REF!+AB89+AB91+AB94+AB96+#REF!</f>
        <v>#REF!</v>
      </c>
      <c r="AC83" s="150" t="e">
        <f>+AC84+AC86+#REF!+AC89+AC91+AC94+AC96+#REF!</f>
        <v>#REF!</v>
      </c>
      <c r="AD83" s="150" t="e">
        <f>+AD84+AD86+#REF!+AD89+AD91+AD94+AD96+#REF!</f>
        <v>#REF!</v>
      </c>
      <c r="AE83" s="150" t="e">
        <f>+AE84+AE86+AE89+AE91+AE94+AE96+#REF!</f>
        <v>#REF!</v>
      </c>
      <c r="AF83" s="150" t="e">
        <f>+AF84+AF86+AF89+AF91+AF94+AF96+#REF!</f>
        <v>#REF!</v>
      </c>
      <c r="AG83" s="150" t="e">
        <f>+AG84+AG86+#REF!+AG89+AG91+AG94+AG96+#REF!</f>
        <v>#REF!</v>
      </c>
      <c r="AH83" s="150" t="e">
        <f>+AH84+AH86+#REF!+AH89+AH91+AH94+AH96+#REF!</f>
        <v>#REF!</v>
      </c>
      <c r="AI83" s="150">
        <f>+AI84+AI86+AI89+AI91+AI94+AI96</f>
        <v>47000</v>
      </c>
      <c r="AJ83" s="150" t="e">
        <f>+AJ84+AJ86+AJ89+AJ91+AJ94+AJ96+#REF!</f>
        <v>#REF!</v>
      </c>
      <c r="AK83" s="150">
        <f>+AK84+AK86+AK89+AK91+AK94+AK96</f>
        <v>47000</v>
      </c>
      <c r="AL83" s="150">
        <f>+AL84+AL86+AL89+AL91+AL94+AL96</f>
        <v>0</v>
      </c>
      <c r="AM83" s="111"/>
      <c r="AN83" s="2">
        <f t="shared" ref="AN83:AN102" si="28">AK83-AI83</f>
        <v>0</v>
      </c>
      <c r="AP83" s="142">
        <f t="shared" ref="AP83:AP102" si="29">AI83-AK83</f>
        <v>0</v>
      </c>
    </row>
    <row r="84" spans="1:42" s="2" customFormat="1" ht="18.75" x14ac:dyDescent="0.25">
      <c r="A84" s="106" t="s">
        <v>35</v>
      </c>
      <c r="B84" s="149" t="s">
        <v>376</v>
      </c>
      <c r="C84" s="41"/>
      <c r="D84" s="106"/>
      <c r="E84" s="106"/>
      <c r="F84" s="110"/>
      <c r="G84" s="110"/>
      <c r="H84" s="105"/>
      <c r="I84" s="154">
        <f t="shared" ref="I84:AK84" si="30">SUM(I85:I85)</f>
        <v>11000</v>
      </c>
      <c r="J84" s="154">
        <f t="shared" si="30"/>
        <v>10000</v>
      </c>
      <c r="K84" s="154">
        <f t="shared" si="30"/>
        <v>230</v>
      </c>
      <c r="L84" s="154">
        <f t="shared" si="30"/>
        <v>230</v>
      </c>
      <c r="M84" s="154">
        <f t="shared" si="30"/>
        <v>0</v>
      </c>
      <c r="N84" s="154">
        <f t="shared" si="30"/>
        <v>0</v>
      </c>
      <c r="O84" s="154">
        <f t="shared" si="30"/>
        <v>230</v>
      </c>
      <c r="P84" s="154">
        <f t="shared" si="30"/>
        <v>230</v>
      </c>
      <c r="Q84" s="154">
        <f t="shared" si="30"/>
        <v>230</v>
      </c>
      <c r="R84" s="154">
        <f t="shared" si="30"/>
        <v>230</v>
      </c>
      <c r="S84" s="154">
        <f t="shared" si="30"/>
        <v>230</v>
      </c>
      <c r="T84" s="154">
        <f t="shared" si="30"/>
        <v>230</v>
      </c>
      <c r="U84" s="154">
        <f t="shared" si="30"/>
        <v>0</v>
      </c>
      <c r="V84" s="154">
        <f t="shared" si="30"/>
        <v>10000</v>
      </c>
      <c r="W84" s="154">
        <f t="shared" si="30"/>
        <v>0</v>
      </c>
      <c r="X84" s="154">
        <f t="shared" si="30"/>
        <v>0</v>
      </c>
      <c r="Y84" s="154">
        <f t="shared" si="30"/>
        <v>0</v>
      </c>
      <c r="Z84" s="154">
        <f t="shared" si="30"/>
        <v>0</v>
      </c>
      <c r="AA84" s="154">
        <f t="shared" si="30"/>
        <v>230</v>
      </c>
      <c r="AB84" s="154">
        <f t="shared" si="30"/>
        <v>0</v>
      </c>
      <c r="AC84" s="154">
        <f t="shared" si="30"/>
        <v>0</v>
      </c>
      <c r="AD84" s="154">
        <f t="shared" si="30"/>
        <v>0</v>
      </c>
      <c r="AE84" s="154">
        <f t="shared" si="30"/>
        <v>9770</v>
      </c>
      <c r="AF84" s="154">
        <f t="shared" si="30"/>
        <v>9770</v>
      </c>
      <c r="AG84" s="154">
        <f t="shared" si="30"/>
        <v>0</v>
      </c>
      <c r="AH84" s="154">
        <f t="shared" si="30"/>
        <v>0</v>
      </c>
      <c r="AI84" s="154">
        <f t="shared" si="30"/>
        <v>3000</v>
      </c>
      <c r="AJ84" s="154">
        <f t="shared" si="30"/>
        <v>3000</v>
      </c>
      <c r="AK84" s="154">
        <f t="shared" si="30"/>
        <v>3000</v>
      </c>
      <c r="AL84" s="111"/>
      <c r="AM84" s="111"/>
      <c r="AN84" s="2">
        <f t="shared" si="28"/>
        <v>0</v>
      </c>
      <c r="AP84" s="142">
        <f t="shared" si="29"/>
        <v>0</v>
      </c>
    </row>
    <row r="85" spans="1:42" s="2" customFormat="1" ht="33.75" x14ac:dyDescent="0.25">
      <c r="A85" s="46">
        <v>1</v>
      </c>
      <c r="B85" s="45" t="s">
        <v>489</v>
      </c>
      <c r="C85" s="41">
        <v>220230015</v>
      </c>
      <c r="D85" s="46" t="s">
        <v>95</v>
      </c>
      <c r="E85" s="40" t="s">
        <v>378</v>
      </c>
      <c r="F85" s="110"/>
      <c r="G85" s="110"/>
      <c r="H85" s="105"/>
      <c r="I85" s="102">
        <v>11000</v>
      </c>
      <c r="J85" s="57">
        <v>10000</v>
      </c>
      <c r="K85" s="42">
        <v>230</v>
      </c>
      <c r="L85" s="42">
        <v>230</v>
      </c>
      <c r="M85" s="42"/>
      <c r="N85" s="42"/>
      <c r="O85" s="42">
        <v>230</v>
      </c>
      <c r="P85" s="42">
        <v>230</v>
      </c>
      <c r="Q85" s="42">
        <v>230</v>
      </c>
      <c r="R85" s="42">
        <v>230</v>
      </c>
      <c r="S85" s="42">
        <v>230</v>
      </c>
      <c r="T85" s="42">
        <v>230</v>
      </c>
      <c r="U85" s="111"/>
      <c r="V85" s="57">
        <v>10000</v>
      </c>
      <c r="W85" s="112"/>
      <c r="X85" s="111"/>
      <c r="Y85" s="111"/>
      <c r="Z85" s="111"/>
      <c r="AA85" s="42">
        <v>230</v>
      </c>
      <c r="AB85" s="113"/>
      <c r="AC85" s="111"/>
      <c r="AD85" s="111"/>
      <c r="AE85" s="42">
        <f t="shared" ref="AE85" si="31">AF85</f>
        <v>9770</v>
      </c>
      <c r="AF85" s="42">
        <f t="shared" ref="AF85" si="32">V85-AA85</f>
        <v>9770</v>
      </c>
      <c r="AG85" s="111"/>
      <c r="AH85" s="111"/>
      <c r="AI85" s="42">
        <f t="shared" ref="AI85" si="33">AJ85</f>
        <v>3000</v>
      </c>
      <c r="AJ85" s="162">
        <v>3000</v>
      </c>
      <c r="AK85" s="162">
        <v>3000</v>
      </c>
      <c r="AL85" s="111"/>
      <c r="AM85" s="111"/>
      <c r="AN85" s="2">
        <f t="shared" si="28"/>
        <v>0</v>
      </c>
      <c r="AP85" s="142">
        <f t="shared" si="29"/>
        <v>0</v>
      </c>
    </row>
    <row r="86" spans="1:42" s="2" customFormat="1" ht="18.75" x14ac:dyDescent="0.25">
      <c r="A86" s="106" t="s">
        <v>58</v>
      </c>
      <c r="B86" s="151" t="s">
        <v>397</v>
      </c>
      <c r="C86" s="41"/>
      <c r="D86" s="152"/>
      <c r="E86" s="152"/>
      <c r="F86" s="110"/>
      <c r="G86" s="110"/>
      <c r="H86" s="105"/>
      <c r="I86" s="153">
        <f t="shared" ref="I86:AH86" si="34">SUM(I87:I88)</f>
        <v>19000</v>
      </c>
      <c r="J86" s="153">
        <f t="shared" si="34"/>
        <v>17000</v>
      </c>
      <c r="K86" s="153">
        <f t="shared" si="34"/>
        <v>802</v>
      </c>
      <c r="L86" s="153">
        <f t="shared" si="34"/>
        <v>802</v>
      </c>
      <c r="M86" s="153">
        <f t="shared" si="34"/>
        <v>0</v>
      </c>
      <c r="N86" s="153">
        <f t="shared" si="34"/>
        <v>0</v>
      </c>
      <c r="O86" s="153">
        <f t="shared" si="34"/>
        <v>802</v>
      </c>
      <c r="P86" s="153">
        <f t="shared" si="34"/>
        <v>802</v>
      </c>
      <c r="Q86" s="153">
        <f t="shared" si="34"/>
        <v>802</v>
      </c>
      <c r="R86" s="153">
        <f t="shared" si="34"/>
        <v>802</v>
      </c>
      <c r="S86" s="153">
        <f t="shared" si="34"/>
        <v>802</v>
      </c>
      <c r="T86" s="153">
        <f t="shared" si="34"/>
        <v>802</v>
      </c>
      <c r="U86" s="153">
        <f t="shared" si="34"/>
        <v>0</v>
      </c>
      <c r="V86" s="153">
        <f t="shared" si="34"/>
        <v>17000</v>
      </c>
      <c r="W86" s="153">
        <f t="shared" si="34"/>
        <v>0</v>
      </c>
      <c r="X86" s="153">
        <f t="shared" si="34"/>
        <v>0</v>
      </c>
      <c r="Y86" s="153">
        <f t="shared" si="34"/>
        <v>0</v>
      </c>
      <c r="Z86" s="153">
        <f t="shared" si="34"/>
        <v>0</v>
      </c>
      <c r="AA86" s="153">
        <f t="shared" si="34"/>
        <v>802</v>
      </c>
      <c r="AB86" s="153">
        <f t="shared" si="34"/>
        <v>0</v>
      </c>
      <c r="AC86" s="153">
        <f t="shared" si="34"/>
        <v>0</v>
      </c>
      <c r="AD86" s="153">
        <f t="shared" si="34"/>
        <v>0</v>
      </c>
      <c r="AE86" s="153">
        <f t="shared" si="34"/>
        <v>16198</v>
      </c>
      <c r="AF86" s="153">
        <f t="shared" si="34"/>
        <v>16198</v>
      </c>
      <c r="AG86" s="153">
        <f t="shared" si="34"/>
        <v>0</v>
      </c>
      <c r="AH86" s="153">
        <f t="shared" si="34"/>
        <v>0</v>
      </c>
      <c r="AI86" s="153">
        <v>5100</v>
      </c>
      <c r="AJ86" s="153">
        <f>SUM(AJ87:AJ88)</f>
        <v>5100</v>
      </c>
      <c r="AK86" s="153">
        <v>5100</v>
      </c>
      <c r="AL86" s="111"/>
      <c r="AM86" s="111"/>
      <c r="AN86" s="2">
        <f t="shared" si="28"/>
        <v>0</v>
      </c>
      <c r="AP86" s="142">
        <f t="shared" si="29"/>
        <v>0</v>
      </c>
    </row>
    <row r="87" spans="1:42" s="2" customFormat="1" ht="33.75" x14ac:dyDescent="0.25">
      <c r="A87" s="46">
        <v>1</v>
      </c>
      <c r="B87" s="45" t="s">
        <v>490</v>
      </c>
      <c r="C87" s="41">
        <v>220230014</v>
      </c>
      <c r="D87" s="46" t="s">
        <v>56</v>
      </c>
      <c r="E87" s="40" t="s">
        <v>301</v>
      </c>
      <c r="F87" s="110"/>
      <c r="G87" s="110"/>
      <c r="H87" s="105"/>
      <c r="I87" s="102">
        <v>11000</v>
      </c>
      <c r="J87" s="57">
        <v>10000</v>
      </c>
      <c r="K87" s="42">
        <v>529</v>
      </c>
      <c r="L87" s="42">
        <v>529</v>
      </c>
      <c r="M87" s="42"/>
      <c r="N87" s="42"/>
      <c r="O87" s="42">
        <v>529</v>
      </c>
      <c r="P87" s="42">
        <v>529</v>
      </c>
      <c r="Q87" s="42">
        <v>529</v>
      </c>
      <c r="R87" s="42">
        <v>529</v>
      </c>
      <c r="S87" s="42">
        <v>529</v>
      </c>
      <c r="T87" s="42">
        <v>529</v>
      </c>
      <c r="U87" s="111"/>
      <c r="V87" s="57">
        <v>10000</v>
      </c>
      <c r="W87" s="112"/>
      <c r="X87" s="111"/>
      <c r="Y87" s="111"/>
      <c r="Z87" s="111"/>
      <c r="AA87" s="42">
        <v>529</v>
      </c>
      <c r="AB87" s="113"/>
      <c r="AC87" s="111"/>
      <c r="AD87" s="111"/>
      <c r="AE87" s="42">
        <f t="shared" ref="AE87:AE88" si="35">AF87</f>
        <v>9471</v>
      </c>
      <c r="AF87" s="42">
        <f t="shared" ref="AF87:AF88" si="36">V87-AA87</f>
        <v>9471</v>
      </c>
      <c r="AG87" s="111"/>
      <c r="AH87" s="111"/>
      <c r="AI87" s="42">
        <f t="shared" ref="AI87:AI88" si="37">AJ87</f>
        <v>3000</v>
      </c>
      <c r="AJ87" s="162">
        <v>3000</v>
      </c>
      <c r="AK87" s="162">
        <v>3000</v>
      </c>
      <c r="AL87" s="111"/>
      <c r="AM87" s="111"/>
      <c r="AN87" s="2">
        <f t="shared" si="28"/>
        <v>0</v>
      </c>
      <c r="AP87" s="142">
        <f t="shared" si="29"/>
        <v>0</v>
      </c>
    </row>
    <row r="88" spans="1:42" s="2" customFormat="1" ht="33.75" x14ac:dyDescent="0.25">
      <c r="A88" s="46">
        <v>2</v>
      </c>
      <c r="B88" s="45" t="s">
        <v>491</v>
      </c>
      <c r="C88" s="41">
        <v>220230013</v>
      </c>
      <c r="D88" s="46" t="s">
        <v>56</v>
      </c>
      <c r="E88" s="40" t="s">
        <v>301</v>
      </c>
      <c r="F88" s="110"/>
      <c r="G88" s="110"/>
      <c r="H88" s="105"/>
      <c r="I88" s="102">
        <v>8000</v>
      </c>
      <c r="J88" s="57">
        <v>7000</v>
      </c>
      <c r="K88" s="42">
        <v>273</v>
      </c>
      <c r="L88" s="42">
        <v>273</v>
      </c>
      <c r="M88" s="42"/>
      <c r="N88" s="42"/>
      <c r="O88" s="42">
        <v>273</v>
      </c>
      <c r="P88" s="42">
        <v>273</v>
      </c>
      <c r="Q88" s="42">
        <v>273</v>
      </c>
      <c r="R88" s="42">
        <v>273</v>
      </c>
      <c r="S88" s="42">
        <v>273</v>
      </c>
      <c r="T88" s="42">
        <v>273</v>
      </c>
      <c r="U88" s="111"/>
      <c r="V88" s="57">
        <v>7000</v>
      </c>
      <c r="W88" s="112"/>
      <c r="X88" s="111"/>
      <c r="Y88" s="111"/>
      <c r="Z88" s="111"/>
      <c r="AA88" s="42">
        <v>273</v>
      </c>
      <c r="AB88" s="113"/>
      <c r="AC88" s="111"/>
      <c r="AD88" s="111"/>
      <c r="AE88" s="42">
        <f t="shared" si="35"/>
        <v>6727</v>
      </c>
      <c r="AF88" s="42">
        <f t="shared" si="36"/>
        <v>6727</v>
      </c>
      <c r="AG88" s="111"/>
      <c r="AH88" s="111"/>
      <c r="AI88" s="42">
        <f t="shared" si="37"/>
        <v>2100</v>
      </c>
      <c r="AJ88" s="162">
        <v>2100</v>
      </c>
      <c r="AK88" s="162">
        <v>2100</v>
      </c>
      <c r="AL88" s="111"/>
      <c r="AM88" s="111"/>
      <c r="AN88" s="2">
        <f t="shared" si="28"/>
        <v>0</v>
      </c>
      <c r="AP88" s="142">
        <f t="shared" si="29"/>
        <v>0</v>
      </c>
    </row>
    <row r="89" spans="1:42" s="2" customFormat="1" ht="18.75" x14ac:dyDescent="0.25">
      <c r="A89" s="106" t="s">
        <v>66</v>
      </c>
      <c r="B89" s="157" t="s">
        <v>420</v>
      </c>
      <c r="C89" s="41"/>
      <c r="D89" s="106"/>
      <c r="E89" s="106"/>
      <c r="F89" s="110"/>
      <c r="G89" s="110"/>
      <c r="H89" s="105"/>
      <c r="I89" s="158">
        <f t="shared" ref="I89:AK89" si="38">SUM(I90:I90)</f>
        <v>9000</v>
      </c>
      <c r="J89" s="158">
        <f t="shared" si="38"/>
        <v>9000</v>
      </c>
      <c r="K89" s="158">
        <f t="shared" si="38"/>
        <v>371</v>
      </c>
      <c r="L89" s="158">
        <f t="shared" si="38"/>
        <v>371</v>
      </c>
      <c r="M89" s="158">
        <f t="shared" si="38"/>
        <v>0</v>
      </c>
      <c r="N89" s="158">
        <f t="shared" si="38"/>
        <v>0</v>
      </c>
      <c r="O89" s="158">
        <f t="shared" si="38"/>
        <v>371</v>
      </c>
      <c r="P89" s="158">
        <f t="shared" si="38"/>
        <v>371</v>
      </c>
      <c r="Q89" s="158">
        <f t="shared" si="38"/>
        <v>371</v>
      </c>
      <c r="R89" s="158">
        <f t="shared" si="38"/>
        <v>371</v>
      </c>
      <c r="S89" s="158">
        <f t="shared" si="38"/>
        <v>371</v>
      </c>
      <c r="T89" s="158">
        <f t="shared" si="38"/>
        <v>371</v>
      </c>
      <c r="U89" s="158">
        <f t="shared" si="38"/>
        <v>0</v>
      </c>
      <c r="V89" s="158">
        <f t="shared" si="38"/>
        <v>9000</v>
      </c>
      <c r="W89" s="158">
        <f t="shared" si="38"/>
        <v>0</v>
      </c>
      <c r="X89" s="158">
        <f t="shared" si="38"/>
        <v>0</v>
      </c>
      <c r="Y89" s="158">
        <f t="shared" si="38"/>
        <v>0</v>
      </c>
      <c r="Z89" s="158">
        <f t="shared" si="38"/>
        <v>0</v>
      </c>
      <c r="AA89" s="158">
        <f t="shared" si="38"/>
        <v>371</v>
      </c>
      <c r="AB89" s="158">
        <f t="shared" si="38"/>
        <v>0</v>
      </c>
      <c r="AC89" s="158">
        <f t="shared" si="38"/>
        <v>0</v>
      </c>
      <c r="AD89" s="158">
        <f t="shared" si="38"/>
        <v>0</v>
      </c>
      <c r="AE89" s="158">
        <f t="shared" si="38"/>
        <v>8629</v>
      </c>
      <c r="AF89" s="158">
        <f t="shared" si="38"/>
        <v>8629</v>
      </c>
      <c r="AG89" s="158">
        <f t="shared" si="38"/>
        <v>0</v>
      </c>
      <c r="AH89" s="158">
        <f t="shared" si="38"/>
        <v>0</v>
      </c>
      <c r="AI89" s="158">
        <f t="shared" si="38"/>
        <v>2700</v>
      </c>
      <c r="AJ89" s="158">
        <f t="shared" si="38"/>
        <v>2700</v>
      </c>
      <c r="AK89" s="158">
        <f t="shared" si="38"/>
        <v>2700</v>
      </c>
      <c r="AL89" s="111"/>
      <c r="AM89" s="111"/>
      <c r="AN89" s="2">
        <f t="shared" si="28"/>
        <v>0</v>
      </c>
      <c r="AP89" s="142">
        <f t="shared" si="29"/>
        <v>0</v>
      </c>
    </row>
    <row r="90" spans="1:42" s="2" customFormat="1" ht="25.5" x14ac:dyDescent="0.25">
      <c r="A90" s="46">
        <v>1</v>
      </c>
      <c r="B90" s="117" t="s">
        <v>492</v>
      </c>
      <c r="C90" s="41">
        <v>8053795</v>
      </c>
      <c r="D90" s="46" t="s">
        <v>176</v>
      </c>
      <c r="E90" s="40" t="s">
        <v>177</v>
      </c>
      <c r="F90" s="110"/>
      <c r="G90" s="110"/>
      <c r="H90" s="105"/>
      <c r="I90" s="109">
        <v>9000</v>
      </c>
      <c r="J90" s="109">
        <v>9000</v>
      </c>
      <c r="K90" s="42">
        <v>371</v>
      </c>
      <c r="L90" s="42">
        <v>371</v>
      </c>
      <c r="M90" s="42"/>
      <c r="N90" s="42"/>
      <c r="O90" s="42">
        <v>371</v>
      </c>
      <c r="P90" s="42">
        <v>371</v>
      </c>
      <c r="Q90" s="42">
        <v>371</v>
      </c>
      <c r="R90" s="42">
        <v>371</v>
      </c>
      <c r="S90" s="42">
        <v>371</v>
      </c>
      <c r="T90" s="42">
        <v>371</v>
      </c>
      <c r="U90" s="111"/>
      <c r="V90" s="109">
        <v>9000</v>
      </c>
      <c r="W90" s="112"/>
      <c r="X90" s="111"/>
      <c r="Y90" s="111"/>
      <c r="Z90" s="111"/>
      <c r="AA90" s="42">
        <v>371</v>
      </c>
      <c r="AB90" s="113"/>
      <c r="AC90" s="111"/>
      <c r="AD90" s="111"/>
      <c r="AE90" s="42">
        <f t="shared" ref="AE90" si="39">AF90</f>
        <v>8629</v>
      </c>
      <c r="AF90" s="42">
        <f t="shared" ref="AF90" si="40">V90-AA90</f>
        <v>8629</v>
      </c>
      <c r="AG90" s="111"/>
      <c r="AH90" s="111"/>
      <c r="AI90" s="42">
        <f t="shared" ref="AI90" si="41">AJ90</f>
        <v>2700</v>
      </c>
      <c r="AJ90" s="162">
        <v>2700</v>
      </c>
      <c r="AK90" s="162">
        <v>2700</v>
      </c>
      <c r="AL90" s="111"/>
      <c r="AM90" s="111"/>
      <c r="AN90" s="2">
        <f t="shared" si="28"/>
        <v>0</v>
      </c>
      <c r="AP90" s="142">
        <f t="shared" si="29"/>
        <v>0</v>
      </c>
    </row>
    <row r="91" spans="1:42" s="2" customFormat="1" ht="18.75" x14ac:dyDescent="0.25">
      <c r="A91" s="106" t="s">
        <v>72</v>
      </c>
      <c r="B91" s="157" t="s">
        <v>423</v>
      </c>
      <c r="C91" s="41"/>
      <c r="D91" s="106"/>
      <c r="E91" s="106"/>
      <c r="F91" s="110"/>
      <c r="G91" s="110"/>
      <c r="H91" s="105"/>
      <c r="I91" s="158">
        <f t="shared" ref="I91:AK91" si="42">SUM(I92:I93)</f>
        <v>25500</v>
      </c>
      <c r="J91" s="158">
        <f t="shared" si="42"/>
        <v>20500</v>
      </c>
      <c r="K91" s="158">
        <f t="shared" si="42"/>
        <v>1371</v>
      </c>
      <c r="L91" s="158">
        <f t="shared" si="42"/>
        <v>1371</v>
      </c>
      <c r="M91" s="158">
        <f t="shared" si="42"/>
        <v>0</v>
      </c>
      <c r="N91" s="158">
        <f t="shared" si="42"/>
        <v>0</v>
      </c>
      <c r="O91" s="158">
        <f t="shared" si="42"/>
        <v>1371</v>
      </c>
      <c r="P91" s="158">
        <f t="shared" si="42"/>
        <v>1371</v>
      </c>
      <c r="Q91" s="158">
        <f t="shared" si="42"/>
        <v>1371</v>
      </c>
      <c r="R91" s="158">
        <f t="shared" si="42"/>
        <v>1371</v>
      </c>
      <c r="S91" s="158">
        <f t="shared" si="42"/>
        <v>1371</v>
      </c>
      <c r="T91" s="158">
        <f t="shared" si="42"/>
        <v>1371</v>
      </c>
      <c r="U91" s="158">
        <f t="shared" si="42"/>
        <v>0</v>
      </c>
      <c r="V91" s="158">
        <f t="shared" si="42"/>
        <v>20500</v>
      </c>
      <c r="W91" s="158">
        <f t="shared" si="42"/>
        <v>0</v>
      </c>
      <c r="X91" s="158">
        <f t="shared" si="42"/>
        <v>0</v>
      </c>
      <c r="Y91" s="158">
        <f t="shared" si="42"/>
        <v>0</v>
      </c>
      <c r="Z91" s="158">
        <f t="shared" si="42"/>
        <v>0</v>
      </c>
      <c r="AA91" s="158">
        <f t="shared" si="42"/>
        <v>1371</v>
      </c>
      <c r="AB91" s="158">
        <f t="shared" si="42"/>
        <v>0</v>
      </c>
      <c r="AC91" s="158">
        <f t="shared" si="42"/>
        <v>0</v>
      </c>
      <c r="AD91" s="158">
        <f t="shared" si="42"/>
        <v>0</v>
      </c>
      <c r="AE91" s="158">
        <f t="shared" si="42"/>
        <v>19129</v>
      </c>
      <c r="AF91" s="158">
        <f t="shared" si="42"/>
        <v>19129</v>
      </c>
      <c r="AG91" s="158">
        <f t="shared" si="42"/>
        <v>0</v>
      </c>
      <c r="AH91" s="158">
        <f t="shared" si="42"/>
        <v>0</v>
      </c>
      <c r="AI91" s="158">
        <f t="shared" si="42"/>
        <v>6200</v>
      </c>
      <c r="AJ91" s="158">
        <f t="shared" si="42"/>
        <v>6200</v>
      </c>
      <c r="AK91" s="158">
        <f t="shared" si="42"/>
        <v>6200</v>
      </c>
      <c r="AL91" s="111"/>
      <c r="AM91" s="111"/>
      <c r="AN91" s="2">
        <f t="shared" si="28"/>
        <v>0</v>
      </c>
      <c r="AP91" s="142">
        <f t="shared" si="29"/>
        <v>0</v>
      </c>
    </row>
    <row r="92" spans="1:42" s="2" customFormat="1" ht="33.75" x14ac:dyDescent="0.25">
      <c r="A92" s="46">
        <v>1</v>
      </c>
      <c r="B92" s="45" t="s">
        <v>493</v>
      </c>
      <c r="C92" s="41">
        <v>220230011</v>
      </c>
      <c r="D92" s="46" t="s">
        <v>172</v>
      </c>
      <c r="E92" s="40" t="s">
        <v>173</v>
      </c>
      <c r="F92" s="110"/>
      <c r="G92" s="110"/>
      <c r="H92" s="105"/>
      <c r="I92" s="109">
        <v>12500</v>
      </c>
      <c r="J92" s="109">
        <v>12500</v>
      </c>
      <c r="K92" s="42">
        <v>915</v>
      </c>
      <c r="L92" s="42">
        <v>915</v>
      </c>
      <c r="M92" s="42"/>
      <c r="N92" s="42"/>
      <c r="O92" s="42">
        <v>915</v>
      </c>
      <c r="P92" s="42">
        <v>915</v>
      </c>
      <c r="Q92" s="42">
        <v>915</v>
      </c>
      <c r="R92" s="42">
        <v>915</v>
      </c>
      <c r="S92" s="42">
        <v>915</v>
      </c>
      <c r="T92" s="42">
        <v>915</v>
      </c>
      <c r="U92" s="111"/>
      <c r="V92" s="109">
        <v>12500</v>
      </c>
      <c r="W92" s="112"/>
      <c r="X92" s="111"/>
      <c r="Y92" s="111"/>
      <c r="Z92" s="111"/>
      <c r="AA92" s="42">
        <v>915</v>
      </c>
      <c r="AB92" s="113"/>
      <c r="AC92" s="111"/>
      <c r="AD92" s="111"/>
      <c r="AE92" s="42">
        <f t="shared" ref="AE92:AE93" si="43">AF92</f>
        <v>11585</v>
      </c>
      <c r="AF92" s="42">
        <f t="shared" ref="AF92:AF93" si="44">V92-AA92</f>
        <v>11585</v>
      </c>
      <c r="AG92" s="111"/>
      <c r="AH92" s="111"/>
      <c r="AI92" s="42">
        <f t="shared" ref="AI92:AI93" si="45">AJ92</f>
        <v>3800</v>
      </c>
      <c r="AJ92" s="162">
        <v>3800</v>
      </c>
      <c r="AK92" s="162">
        <v>3800</v>
      </c>
      <c r="AL92" s="111"/>
      <c r="AM92" s="111"/>
      <c r="AN92" s="2">
        <f t="shared" si="28"/>
        <v>0</v>
      </c>
      <c r="AP92" s="142">
        <f t="shared" si="29"/>
        <v>0</v>
      </c>
    </row>
    <row r="93" spans="1:42" s="2" customFormat="1" ht="33.75" x14ac:dyDescent="0.25">
      <c r="A93" s="46">
        <v>2</v>
      </c>
      <c r="B93" s="45" t="s">
        <v>494</v>
      </c>
      <c r="C93" s="41">
        <v>220230010</v>
      </c>
      <c r="D93" s="46" t="s">
        <v>172</v>
      </c>
      <c r="E93" s="40" t="s">
        <v>173</v>
      </c>
      <c r="F93" s="110"/>
      <c r="G93" s="110"/>
      <c r="H93" s="105"/>
      <c r="I93" s="109">
        <v>13000</v>
      </c>
      <c r="J93" s="109">
        <v>8000</v>
      </c>
      <c r="K93" s="42">
        <v>456</v>
      </c>
      <c r="L93" s="42">
        <v>456</v>
      </c>
      <c r="M93" s="42"/>
      <c r="N93" s="42"/>
      <c r="O93" s="42">
        <v>456</v>
      </c>
      <c r="P93" s="42">
        <v>456</v>
      </c>
      <c r="Q93" s="42">
        <v>456</v>
      </c>
      <c r="R93" s="42">
        <v>456</v>
      </c>
      <c r="S93" s="42">
        <v>456</v>
      </c>
      <c r="T93" s="42">
        <v>456</v>
      </c>
      <c r="U93" s="111"/>
      <c r="V93" s="109">
        <v>8000</v>
      </c>
      <c r="W93" s="112"/>
      <c r="X93" s="111"/>
      <c r="Y93" s="111"/>
      <c r="Z93" s="111"/>
      <c r="AA93" s="42">
        <v>456</v>
      </c>
      <c r="AB93" s="113"/>
      <c r="AC93" s="111"/>
      <c r="AD93" s="111"/>
      <c r="AE93" s="42">
        <f t="shared" si="43"/>
        <v>7544</v>
      </c>
      <c r="AF93" s="42">
        <f t="shared" si="44"/>
        <v>7544</v>
      </c>
      <c r="AG93" s="111"/>
      <c r="AH93" s="111"/>
      <c r="AI93" s="42">
        <f t="shared" si="45"/>
        <v>2400</v>
      </c>
      <c r="AJ93" s="162">
        <v>2400</v>
      </c>
      <c r="AK93" s="162">
        <v>2400</v>
      </c>
      <c r="AL93" s="111"/>
      <c r="AM93" s="111"/>
      <c r="AN93" s="2">
        <f t="shared" si="28"/>
        <v>0</v>
      </c>
      <c r="AP93" s="142">
        <f t="shared" si="29"/>
        <v>0</v>
      </c>
    </row>
    <row r="94" spans="1:42" s="2" customFormat="1" ht="18.75" x14ac:dyDescent="0.25">
      <c r="A94" s="106" t="s">
        <v>79</v>
      </c>
      <c r="B94" s="157" t="s">
        <v>457</v>
      </c>
      <c r="C94" s="41"/>
      <c r="D94" s="106"/>
      <c r="E94" s="106"/>
      <c r="F94" s="110"/>
      <c r="G94" s="110"/>
      <c r="H94" s="105"/>
      <c r="I94" s="158">
        <f t="shared" ref="I94:AL94" si="46">SUM(I95:I95)</f>
        <v>30000</v>
      </c>
      <c r="J94" s="158">
        <f t="shared" si="46"/>
        <v>30000</v>
      </c>
      <c r="K94" s="158">
        <f t="shared" si="46"/>
        <v>576</v>
      </c>
      <c r="L94" s="158">
        <f t="shared" si="46"/>
        <v>576</v>
      </c>
      <c r="M94" s="158">
        <f t="shared" si="46"/>
        <v>0</v>
      </c>
      <c r="N94" s="158">
        <f t="shared" si="46"/>
        <v>0</v>
      </c>
      <c r="O94" s="158">
        <f t="shared" si="46"/>
        <v>576</v>
      </c>
      <c r="P94" s="158">
        <f t="shared" si="46"/>
        <v>576</v>
      </c>
      <c r="Q94" s="158">
        <f t="shared" si="46"/>
        <v>576</v>
      </c>
      <c r="R94" s="158">
        <f t="shared" si="46"/>
        <v>576</v>
      </c>
      <c r="S94" s="158">
        <f t="shared" si="46"/>
        <v>576</v>
      </c>
      <c r="T94" s="158">
        <f t="shared" si="46"/>
        <v>576</v>
      </c>
      <c r="U94" s="158">
        <f t="shared" si="46"/>
        <v>0</v>
      </c>
      <c r="V94" s="158">
        <f t="shared" si="46"/>
        <v>30000</v>
      </c>
      <c r="W94" s="158">
        <f t="shared" si="46"/>
        <v>0</v>
      </c>
      <c r="X94" s="158">
        <f t="shared" si="46"/>
        <v>0</v>
      </c>
      <c r="Y94" s="158">
        <f t="shared" si="46"/>
        <v>0</v>
      </c>
      <c r="Z94" s="158">
        <f t="shared" si="46"/>
        <v>0</v>
      </c>
      <c r="AA94" s="158">
        <f t="shared" si="46"/>
        <v>576</v>
      </c>
      <c r="AB94" s="158">
        <f t="shared" si="46"/>
        <v>0</v>
      </c>
      <c r="AC94" s="158">
        <f t="shared" si="46"/>
        <v>0</v>
      </c>
      <c r="AD94" s="158">
        <f t="shared" si="46"/>
        <v>0</v>
      </c>
      <c r="AE94" s="158">
        <f t="shared" si="46"/>
        <v>29424</v>
      </c>
      <c r="AF94" s="158">
        <f t="shared" si="46"/>
        <v>29424</v>
      </c>
      <c r="AG94" s="158">
        <f t="shared" si="46"/>
        <v>0</v>
      </c>
      <c r="AH94" s="158">
        <f t="shared" si="46"/>
        <v>0</v>
      </c>
      <c r="AI94" s="158">
        <f t="shared" si="46"/>
        <v>9000</v>
      </c>
      <c r="AJ94" s="158">
        <f t="shared" si="46"/>
        <v>9000</v>
      </c>
      <c r="AK94" s="158">
        <f t="shared" si="46"/>
        <v>9000</v>
      </c>
      <c r="AL94" s="158">
        <f t="shared" si="46"/>
        <v>0</v>
      </c>
      <c r="AM94" s="111"/>
      <c r="AN94" s="2">
        <f t="shared" si="28"/>
        <v>0</v>
      </c>
      <c r="AP94" s="142">
        <f t="shared" si="29"/>
        <v>0</v>
      </c>
    </row>
    <row r="95" spans="1:42" s="2" customFormat="1" ht="38.25" x14ac:dyDescent="0.25">
      <c r="A95" s="46">
        <v>1</v>
      </c>
      <c r="B95" s="117" t="s">
        <v>495</v>
      </c>
      <c r="C95" s="41">
        <v>220230016</v>
      </c>
      <c r="D95" s="46" t="s">
        <v>346</v>
      </c>
      <c r="E95" s="40" t="s">
        <v>347</v>
      </c>
      <c r="F95" s="110"/>
      <c r="G95" s="110"/>
      <c r="H95" s="105"/>
      <c r="I95" s="155">
        <v>30000</v>
      </c>
      <c r="J95" s="155">
        <v>30000</v>
      </c>
      <c r="K95" s="42">
        <v>576</v>
      </c>
      <c r="L95" s="42">
        <v>576</v>
      </c>
      <c r="M95" s="42"/>
      <c r="N95" s="42"/>
      <c r="O95" s="42">
        <v>576</v>
      </c>
      <c r="P95" s="42">
        <v>576</v>
      </c>
      <c r="Q95" s="42">
        <v>576</v>
      </c>
      <c r="R95" s="42">
        <v>576</v>
      </c>
      <c r="S95" s="42">
        <v>576</v>
      </c>
      <c r="T95" s="42">
        <v>576</v>
      </c>
      <c r="U95" s="111"/>
      <c r="V95" s="155">
        <v>30000</v>
      </c>
      <c r="W95" s="112"/>
      <c r="X95" s="111"/>
      <c r="Y95" s="111"/>
      <c r="Z95" s="111"/>
      <c r="AA95" s="42">
        <v>576</v>
      </c>
      <c r="AB95" s="113"/>
      <c r="AC95" s="111"/>
      <c r="AD95" s="111"/>
      <c r="AE95" s="42">
        <f t="shared" ref="AE95" si="47">AF95</f>
        <v>29424</v>
      </c>
      <c r="AF95" s="42">
        <f t="shared" ref="AF95" si="48">V95-AA95</f>
        <v>29424</v>
      </c>
      <c r="AG95" s="111"/>
      <c r="AH95" s="111"/>
      <c r="AI95" s="42">
        <f>AK95+AL95</f>
        <v>9000</v>
      </c>
      <c r="AJ95" s="162">
        <v>9000</v>
      </c>
      <c r="AK95" s="162">
        <v>9000</v>
      </c>
      <c r="AL95" s="162"/>
      <c r="AM95" s="111"/>
      <c r="AN95" s="2">
        <f t="shared" si="28"/>
        <v>0</v>
      </c>
      <c r="AP95" s="142">
        <f t="shared" si="29"/>
        <v>0</v>
      </c>
    </row>
    <row r="96" spans="1:42" s="2" customFormat="1" ht="18.75" x14ac:dyDescent="0.25">
      <c r="A96" s="106" t="s">
        <v>112</v>
      </c>
      <c r="B96" s="157" t="s">
        <v>477</v>
      </c>
      <c r="C96" s="41"/>
      <c r="D96" s="106"/>
      <c r="E96" s="106"/>
      <c r="F96" s="110"/>
      <c r="G96" s="110"/>
      <c r="H96" s="105"/>
      <c r="I96" s="158">
        <f t="shared" ref="I96:AL96" si="49">SUM(I97:I102)</f>
        <v>69723</v>
      </c>
      <c r="J96" s="158">
        <f t="shared" si="49"/>
        <v>69723</v>
      </c>
      <c r="K96" s="158">
        <f t="shared" si="49"/>
        <v>2933</v>
      </c>
      <c r="L96" s="158">
        <f t="shared" si="49"/>
        <v>2933</v>
      </c>
      <c r="M96" s="158">
        <f t="shared" si="49"/>
        <v>57</v>
      </c>
      <c r="N96" s="158">
        <f t="shared" si="49"/>
        <v>57</v>
      </c>
      <c r="O96" s="158">
        <f t="shared" si="49"/>
        <v>1759.8</v>
      </c>
      <c r="P96" s="158">
        <f t="shared" si="49"/>
        <v>1759.8</v>
      </c>
      <c r="Q96" s="158">
        <f t="shared" si="49"/>
        <v>2933</v>
      </c>
      <c r="R96" s="158">
        <f t="shared" si="49"/>
        <v>2933</v>
      </c>
      <c r="S96" s="158">
        <f t="shared" si="49"/>
        <v>2933</v>
      </c>
      <c r="T96" s="158">
        <f t="shared" si="49"/>
        <v>2933</v>
      </c>
      <c r="U96" s="158">
        <f t="shared" si="49"/>
        <v>0</v>
      </c>
      <c r="V96" s="158">
        <f t="shared" si="49"/>
        <v>69723</v>
      </c>
      <c r="W96" s="158">
        <f t="shared" si="49"/>
        <v>0</v>
      </c>
      <c r="X96" s="158">
        <f t="shared" si="49"/>
        <v>0</v>
      </c>
      <c r="Y96" s="158">
        <f t="shared" si="49"/>
        <v>0</v>
      </c>
      <c r="Z96" s="158">
        <f t="shared" si="49"/>
        <v>0</v>
      </c>
      <c r="AA96" s="158">
        <f t="shared" si="49"/>
        <v>2933</v>
      </c>
      <c r="AB96" s="158">
        <f t="shared" si="49"/>
        <v>0</v>
      </c>
      <c r="AC96" s="158">
        <f t="shared" si="49"/>
        <v>0</v>
      </c>
      <c r="AD96" s="158">
        <f t="shared" si="49"/>
        <v>0</v>
      </c>
      <c r="AE96" s="158">
        <f t="shared" si="49"/>
        <v>66790</v>
      </c>
      <c r="AF96" s="158">
        <f t="shared" si="49"/>
        <v>66790</v>
      </c>
      <c r="AG96" s="158">
        <f t="shared" si="49"/>
        <v>0</v>
      </c>
      <c r="AH96" s="158">
        <f t="shared" si="49"/>
        <v>0</v>
      </c>
      <c r="AI96" s="158">
        <f t="shared" si="49"/>
        <v>21000</v>
      </c>
      <c r="AJ96" s="158">
        <f t="shared" si="49"/>
        <v>21000</v>
      </c>
      <c r="AK96" s="158">
        <f t="shared" si="49"/>
        <v>21000</v>
      </c>
      <c r="AL96" s="158">
        <f t="shared" si="49"/>
        <v>0</v>
      </c>
      <c r="AM96" s="111"/>
      <c r="AN96" s="2">
        <f t="shared" si="28"/>
        <v>0</v>
      </c>
      <c r="AP96" s="142">
        <f t="shared" si="29"/>
        <v>0</v>
      </c>
    </row>
    <row r="97" spans="1:42" s="2" customFormat="1" ht="36" x14ac:dyDescent="0.25">
      <c r="A97" s="46">
        <v>1</v>
      </c>
      <c r="B97" s="38" t="s">
        <v>496</v>
      </c>
      <c r="C97" s="41">
        <v>7969317</v>
      </c>
      <c r="D97" s="46" t="s">
        <v>40</v>
      </c>
      <c r="E97" s="80" t="s">
        <v>42</v>
      </c>
      <c r="F97" s="110"/>
      <c r="G97" s="110"/>
      <c r="H97" s="105"/>
      <c r="I97" s="102">
        <v>11712</v>
      </c>
      <c r="J97" s="102">
        <v>11712</v>
      </c>
      <c r="K97" s="42">
        <v>520</v>
      </c>
      <c r="L97" s="42">
        <v>520</v>
      </c>
      <c r="M97" s="42"/>
      <c r="N97" s="42"/>
      <c r="O97" s="42">
        <f t="shared" ref="O97:P102" si="50">K97*0.6</f>
        <v>312</v>
      </c>
      <c r="P97" s="42">
        <f t="shared" si="50"/>
        <v>312</v>
      </c>
      <c r="Q97" s="42">
        <v>520</v>
      </c>
      <c r="R97" s="42">
        <v>520</v>
      </c>
      <c r="S97" s="42">
        <v>520</v>
      </c>
      <c r="T97" s="42">
        <v>520</v>
      </c>
      <c r="U97" s="111"/>
      <c r="V97" s="102">
        <v>11712</v>
      </c>
      <c r="W97" s="112"/>
      <c r="X97" s="111"/>
      <c r="Y97" s="111"/>
      <c r="Z97" s="111"/>
      <c r="AA97" s="42">
        <v>520</v>
      </c>
      <c r="AB97" s="113"/>
      <c r="AC97" s="111"/>
      <c r="AD97" s="111"/>
      <c r="AE97" s="42">
        <f t="shared" ref="AE97:AE102" si="51">AF97</f>
        <v>11192</v>
      </c>
      <c r="AF97" s="42">
        <f t="shared" ref="AF97:AF102" si="52">V97-AA97</f>
        <v>11192</v>
      </c>
      <c r="AG97" s="111"/>
      <c r="AH97" s="111"/>
      <c r="AI97" s="42">
        <f t="shared" ref="AI97:AI100" si="53">AJ97</f>
        <v>3500</v>
      </c>
      <c r="AJ97" s="162">
        <v>3500</v>
      </c>
      <c r="AK97" s="162">
        <v>3500</v>
      </c>
      <c r="AL97" s="111"/>
      <c r="AM97" s="111"/>
      <c r="AN97" s="2">
        <f t="shared" si="28"/>
        <v>0</v>
      </c>
      <c r="AP97" s="142">
        <f t="shared" si="29"/>
        <v>0</v>
      </c>
    </row>
    <row r="98" spans="1:42" s="2" customFormat="1" ht="36" x14ac:dyDescent="0.25">
      <c r="A98" s="46">
        <v>2</v>
      </c>
      <c r="B98" s="38" t="s">
        <v>497</v>
      </c>
      <c r="C98" s="41">
        <v>7940855</v>
      </c>
      <c r="D98" s="46" t="s">
        <v>84</v>
      </c>
      <c r="E98" s="80" t="s">
        <v>42</v>
      </c>
      <c r="F98" s="110"/>
      <c r="G98" s="110"/>
      <c r="H98" s="105"/>
      <c r="I98" s="102">
        <v>11000</v>
      </c>
      <c r="J98" s="102">
        <v>11000</v>
      </c>
      <c r="K98" s="42">
        <v>472</v>
      </c>
      <c r="L98" s="42">
        <v>472</v>
      </c>
      <c r="M98" s="42"/>
      <c r="N98" s="42"/>
      <c r="O98" s="42">
        <f t="shared" si="50"/>
        <v>283.2</v>
      </c>
      <c r="P98" s="42">
        <f t="shared" si="50"/>
        <v>283.2</v>
      </c>
      <c r="Q98" s="42">
        <v>472</v>
      </c>
      <c r="R98" s="42">
        <v>472</v>
      </c>
      <c r="S98" s="42">
        <v>472</v>
      </c>
      <c r="T98" s="42">
        <v>472</v>
      </c>
      <c r="U98" s="111"/>
      <c r="V98" s="102">
        <v>11000</v>
      </c>
      <c r="W98" s="112"/>
      <c r="X98" s="111"/>
      <c r="Y98" s="111"/>
      <c r="Z98" s="111"/>
      <c r="AA98" s="42">
        <v>472</v>
      </c>
      <c r="AB98" s="113"/>
      <c r="AC98" s="111"/>
      <c r="AD98" s="111"/>
      <c r="AE98" s="42">
        <f t="shared" si="51"/>
        <v>10528</v>
      </c>
      <c r="AF98" s="42">
        <f t="shared" si="52"/>
        <v>10528</v>
      </c>
      <c r="AG98" s="111"/>
      <c r="AH98" s="111"/>
      <c r="AI98" s="42">
        <f t="shared" si="53"/>
        <v>3300</v>
      </c>
      <c r="AJ98" s="162">
        <v>3300</v>
      </c>
      <c r="AK98" s="162">
        <v>3300</v>
      </c>
      <c r="AL98" s="111"/>
      <c r="AM98" s="111"/>
      <c r="AN98" s="2">
        <f t="shared" si="28"/>
        <v>0</v>
      </c>
      <c r="AP98" s="142">
        <f t="shared" si="29"/>
        <v>0</v>
      </c>
    </row>
    <row r="99" spans="1:42" s="2" customFormat="1" ht="36" x14ac:dyDescent="0.25">
      <c r="A99" s="46">
        <v>3</v>
      </c>
      <c r="B99" s="38" t="s">
        <v>498</v>
      </c>
      <c r="C99" s="41">
        <v>7940852</v>
      </c>
      <c r="D99" s="46" t="s">
        <v>499</v>
      </c>
      <c r="E99" s="80" t="s">
        <v>42</v>
      </c>
      <c r="F99" s="110"/>
      <c r="G99" s="110"/>
      <c r="H99" s="105"/>
      <c r="I99" s="102">
        <v>11000</v>
      </c>
      <c r="J99" s="102">
        <v>11000</v>
      </c>
      <c r="K99" s="42">
        <v>442</v>
      </c>
      <c r="L99" s="42">
        <v>442</v>
      </c>
      <c r="M99" s="42"/>
      <c r="N99" s="42"/>
      <c r="O99" s="42">
        <f t="shared" si="50"/>
        <v>265.2</v>
      </c>
      <c r="P99" s="42">
        <f t="shared" si="50"/>
        <v>265.2</v>
      </c>
      <c r="Q99" s="42">
        <v>442</v>
      </c>
      <c r="R99" s="42">
        <v>442</v>
      </c>
      <c r="S99" s="42">
        <v>442</v>
      </c>
      <c r="T99" s="42">
        <v>442</v>
      </c>
      <c r="U99" s="111"/>
      <c r="V99" s="102">
        <v>11000</v>
      </c>
      <c r="W99" s="112"/>
      <c r="X99" s="111"/>
      <c r="Y99" s="111"/>
      <c r="Z99" s="111"/>
      <c r="AA99" s="42">
        <v>442</v>
      </c>
      <c r="AB99" s="113"/>
      <c r="AC99" s="111"/>
      <c r="AD99" s="111"/>
      <c r="AE99" s="42">
        <f t="shared" si="51"/>
        <v>10558</v>
      </c>
      <c r="AF99" s="42">
        <f t="shared" si="52"/>
        <v>10558</v>
      </c>
      <c r="AG99" s="111"/>
      <c r="AH99" s="111"/>
      <c r="AI99" s="42">
        <f t="shared" si="53"/>
        <v>3300</v>
      </c>
      <c r="AJ99" s="162">
        <v>3300</v>
      </c>
      <c r="AK99" s="162">
        <v>3300</v>
      </c>
      <c r="AL99" s="111"/>
      <c r="AM99" s="111"/>
      <c r="AN99" s="2">
        <f t="shared" si="28"/>
        <v>0</v>
      </c>
      <c r="AP99" s="142">
        <f t="shared" si="29"/>
        <v>0</v>
      </c>
    </row>
    <row r="100" spans="1:42" s="2" customFormat="1" ht="36" x14ac:dyDescent="0.25">
      <c r="A100" s="46">
        <v>4</v>
      </c>
      <c r="B100" s="38" t="s">
        <v>500</v>
      </c>
      <c r="C100" s="41">
        <v>7940858</v>
      </c>
      <c r="D100" s="46" t="s">
        <v>40</v>
      </c>
      <c r="E100" s="80" t="s">
        <v>42</v>
      </c>
      <c r="F100" s="110"/>
      <c r="G100" s="110"/>
      <c r="H100" s="105"/>
      <c r="I100" s="102">
        <v>14986</v>
      </c>
      <c r="J100" s="102">
        <v>14986</v>
      </c>
      <c r="K100" s="42">
        <v>583</v>
      </c>
      <c r="L100" s="42">
        <v>583</v>
      </c>
      <c r="M100" s="42"/>
      <c r="N100" s="42"/>
      <c r="O100" s="42">
        <f t="shared" si="50"/>
        <v>349.8</v>
      </c>
      <c r="P100" s="42">
        <f t="shared" si="50"/>
        <v>349.8</v>
      </c>
      <c r="Q100" s="42">
        <v>583</v>
      </c>
      <c r="R100" s="42">
        <v>583</v>
      </c>
      <c r="S100" s="42">
        <v>583</v>
      </c>
      <c r="T100" s="42">
        <v>583</v>
      </c>
      <c r="U100" s="111"/>
      <c r="V100" s="102">
        <v>14986</v>
      </c>
      <c r="W100" s="112"/>
      <c r="X100" s="111"/>
      <c r="Y100" s="111"/>
      <c r="Z100" s="111"/>
      <c r="AA100" s="42">
        <v>583</v>
      </c>
      <c r="AB100" s="113"/>
      <c r="AC100" s="111"/>
      <c r="AD100" s="111"/>
      <c r="AE100" s="42">
        <f t="shared" si="51"/>
        <v>14403</v>
      </c>
      <c r="AF100" s="42">
        <f t="shared" si="52"/>
        <v>14403</v>
      </c>
      <c r="AG100" s="111"/>
      <c r="AH100" s="111"/>
      <c r="AI100" s="42">
        <f t="shared" si="53"/>
        <v>4500</v>
      </c>
      <c r="AJ100" s="162">
        <v>4500</v>
      </c>
      <c r="AK100" s="162">
        <v>4500</v>
      </c>
      <c r="AL100" s="111"/>
      <c r="AM100" s="111"/>
      <c r="AN100" s="2">
        <f t="shared" si="28"/>
        <v>0</v>
      </c>
      <c r="AP100" s="142">
        <f t="shared" si="29"/>
        <v>0</v>
      </c>
    </row>
    <row r="101" spans="1:42" s="2" customFormat="1" ht="36" x14ac:dyDescent="0.25">
      <c r="A101" s="46">
        <v>5</v>
      </c>
      <c r="B101" s="38" t="s">
        <v>501</v>
      </c>
      <c r="C101" s="41">
        <v>7940861</v>
      </c>
      <c r="D101" s="46" t="s">
        <v>40</v>
      </c>
      <c r="E101" s="80" t="s">
        <v>42</v>
      </c>
      <c r="F101" s="110"/>
      <c r="G101" s="110"/>
      <c r="H101" s="105"/>
      <c r="I101" s="102">
        <v>8525</v>
      </c>
      <c r="J101" s="102">
        <v>8525</v>
      </c>
      <c r="K101" s="42">
        <v>326</v>
      </c>
      <c r="L101" s="42">
        <v>326</v>
      </c>
      <c r="M101" s="42"/>
      <c r="N101" s="42"/>
      <c r="O101" s="42">
        <f t="shared" si="50"/>
        <v>195.6</v>
      </c>
      <c r="P101" s="42">
        <f t="shared" si="50"/>
        <v>195.6</v>
      </c>
      <c r="Q101" s="42">
        <v>326</v>
      </c>
      <c r="R101" s="42">
        <v>326</v>
      </c>
      <c r="S101" s="42">
        <v>326</v>
      </c>
      <c r="T101" s="42">
        <v>326</v>
      </c>
      <c r="U101" s="111"/>
      <c r="V101" s="102">
        <v>8525</v>
      </c>
      <c r="W101" s="112"/>
      <c r="X101" s="111"/>
      <c r="Y101" s="111"/>
      <c r="Z101" s="111"/>
      <c r="AA101" s="42">
        <v>326</v>
      </c>
      <c r="AB101" s="113"/>
      <c r="AC101" s="111"/>
      <c r="AD101" s="111"/>
      <c r="AE101" s="42">
        <f t="shared" si="51"/>
        <v>8199</v>
      </c>
      <c r="AF101" s="42">
        <f t="shared" si="52"/>
        <v>8199</v>
      </c>
      <c r="AG101" s="111"/>
      <c r="AH101" s="111"/>
      <c r="AI101" s="42">
        <f>AJ101</f>
        <v>2600</v>
      </c>
      <c r="AJ101" s="162">
        <v>2600</v>
      </c>
      <c r="AK101" s="162">
        <v>2600</v>
      </c>
      <c r="AL101" s="111"/>
      <c r="AM101" s="111"/>
      <c r="AN101" s="2">
        <f t="shared" si="28"/>
        <v>0</v>
      </c>
      <c r="AP101" s="142">
        <f t="shared" si="29"/>
        <v>0</v>
      </c>
    </row>
    <row r="102" spans="1:42" s="2" customFormat="1" ht="38.25" x14ac:dyDescent="0.25">
      <c r="A102" s="46">
        <v>6</v>
      </c>
      <c r="B102" s="38" t="s">
        <v>502</v>
      </c>
      <c r="C102" s="41">
        <v>7940857</v>
      </c>
      <c r="D102" s="46" t="s">
        <v>40</v>
      </c>
      <c r="E102" s="80" t="s">
        <v>42</v>
      </c>
      <c r="F102" s="110"/>
      <c r="G102" s="110"/>
      <c r="H102" s="105"/>
      <c r="I102" s="102">
        <v>12500</v>
      </c>
      <c r="J102" s="102">
        <v>12500</v>
      </c>
      <c r="K102" s="42">
        <v>590</v>
      </c>
      <c r="L102" s="42">
        <v>590</v>
      </c>
      <c r="M102" s="42">
        <v>57</v>
      </c>
      <c r="N102" s="42">
        <v>57</v>
      </c>
      <c r="O102" s="42">
        <f t="shared" si="50"/>
        <v>354</v>
      </c>
      <c r="P102" s="42">
        <f t="shared" si="50"/>
        <v>354</v>
      </c>
      <c r="Q102" s="42">
        <v>590</v>
      </c>
      <c r="R102" s="42">
        <v>590</v>
      </c>
      <c r="S102" s="42">
        <v>590</v>
      </c>
      <c r="T102" s="42">
        <v>590</v>
      </c>
      <c r="U102" s="111"/>
      <c r="V102" s="102">
        <v>12500</v>
      </c>
      <c r="W102" s="112"/>
      <c r="X102" s="111"/>
      <c r="Y102" s="111"/>
      <c r="Z102" s="111"/>
      <c r="AA102" s="42">
        <v>590</v>
      </c>
      <c r="AB102" s="113"/>
      <c r="AC102" s="111"/>
      <c r="AD102" s="111"/>
      <c r="AE102" s="42">
        <f t="shared" si="51"/>
        <v>11910</v>
      </c>
      <c r="AF102" s="42">
        <f t="shared" si="52"/>
        <v>11910</v>
      </c>
      <c r="AG102" s="111"/>
      <c r="AH102" s="111"/>
      <c r="AI102" s="42">
        <f>SUM(AK102:AL102)</f>
        <v>3800</v>
      </c>
      <c r="AJ102" s="162">
        <v>3800</v>
      </c>
      <c r="AK102" s="162">
        <v>3800</v>
      </c>
      <c r="AL102" s="42"/>
      <c r="AM102" s="111"/>
      <c r="AN102" s="2">
        <f t="shared" si="28"/>
        <v>0</v>
      </c>
      <c r="AP102" s="142">
        <f t="shared" si="29"/>
        <v>0</v>
      </c>
    </row>
  </sheetData>
  <mergeCells count="49">
    <mergeCell ref="F6:F10"/>
    <mergeCell ref="A1:B1"/>
    <mergeCell ref="AK1:AM1"/>
    <mergeCell ref="A2:AM2"/>
    <mergeCell ref="A3:AM3"/>
    <mergeCell ref="A4:AM4"/>
    <mergeCell ref="A5:AM5"/>
    <mergeCell ref="A6:A10"/>
    <mergeCell ref="B6:B10"/>
    <mergeCell ref="C6:C10"/>
    <mergeCell ref="D6:D10"/>
    <mergeCell ref="E6:E10"/>
    <mergeCell ref="G6:G10"/>
    <mergeCell ref="H6:J6"/>
    <mergeCell ref="K6:R8"/>
    <mergeCell ref="S6:T8"/>
    <mergeCell ref="U6:AD7"/>
    <mergeCell ref="S9:S10"/>
    <mergeCell ref="T9:T10"/>
    <mergeCell ref="U9:U10"/>
    <mergeCell ref="V9:V10"/>
    <mergeCell ref="H7:H10"/>
    <mergeCell ref="I7:J7"/>
    <mergeCell ref="I8:I10"/>
    <mergeCell ref="J8:J10"/>
    <mergeCell ref="U8:Y8"/>
    <mergeCell ref="P9:P10"/>
    <mergeCell ref="Q9:Q10"/>
    <mergeCell ref="R9:R10"/>
    <mergeCell ref="AI6:AL7"/>
    <mergeCell ref="AM6:AM10"/>
    <mergeCell ref="Z8:AD8"/>
    <mergeCell ref="AE8:AE10"/>
    <mergeCell ref="AF8:AH10"/>
    <mergeCell ref="AE6:AH7"/>
    <mergeCell ref="K9:K10"/>
    <mergeCell ref="L9:L10"/>
    <mergeCell ref="M9:M10"/>
    <mergeCell ref="N9:N10"/>
    <mergeCell ref="O9:O10"/>
    <mergeCell ref="AL9:AL10"/>
    <mergeCell ref="W9:Y9"/>
    <mergeCell ref="Z9:Z10"/>
    <mergeCell ref="AA9:AA10"/>
    <mergeCell ref="AB9:AD9"/>
    <mergeCell ref="AJ9:AJ10"/>
    <mergeCell ref="AK9:AK10"/>
    <mergeCell ref="AI8:AI10"/>
    <mergeCell ref="AJ8:AL8"/>
  </mergeCells>
  <conditionalFormatting sqref="B44">
    <cfRule type="duplicateValues" dxfId="13" priority="2"/>
  </conditionalFormatting>
  <conditionalFormatting sqref="B95">
    <cfRule type="duplicateValues" dxfId="12" priority="1"/>
  </conditionalFormatting>
  <pageMargins left="0.25" right="0.25" top="0.55000000000000004" bottom="0.59"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9F91-8D95-422D-A740-FFF20B0C172F}">
  <sheetPr>
    <tabColor rgb="FF92D050"/>
  </sheetPr>
  <dimension ref="A1:AC17"/>
  <sheetViews>
    <sheetView workbookViewId="0">
      <selection activeCell="W1" sqref="W1:AC1"/>
    </sheetView>
  </sheetViews>
  <sheetFormatPr defaultColWidth="9.140625" defaultRowHeight="15" x14ac:dyDescent="0.25"/>
  <cols>
    <col min="1" max="1" width="4.7109375" style="163" customWidth="1"/>
    <col min="2" max="2" width="45.140625" style="136" customWidth="1"/>
    <col min="3" max="3" width="7.28515625" style="163" hidden="1" customWidth="1"/>
    <col min="4" max="4" width="8.140625" style="136" customWidth="1"/>
    <col min="5" max="5" width="12.28515625" style="136" customWidth="1"/>
    <col min="6" max="6" width="9.85546875" style="136" hidden="1" customWidth="1"/>
    <col min="7" max="7" width="11" style="136" hidden="1" customWidth="1"/>
    <col min="8" max="8" width="11" style="136" customWidth="1"/>
    <col min="9" max="9" width="10.7109375" style="136" customWidth="1"/>
    <col min="10" max="10" width="9.42578125" style="136" customWidth="1"/>
    <col min="11" max="11" width="9.7109375" style="136" hidden="1" customWidth="1"/>
    <col min="12" max="12" width="8.5703125" style="136" hidden="1" customWidth="1"/>
    <col min="13" max="13" width="9.42578125" style="136" hidden="1" customWidth="1"/>
    <col min="14" max="14" width="9" style="136" hidden="1" customWidth="1"/>
    <col min="15" max="15" width="11" style="164" hidden="1" customWidth="1"/>
    <col min="16" max="16" width="8.5703125" style="165" hidden="1" customWidth="1"/>
    <col min="17" max="17" width="12.140625" style="165" hidden="1" customWidth="1"/>
    <col min="18" max="18" width="8" style="165" hidden="1" customWidth="1"/>
    <col min="19" max="19" width="8.28515625" style="165" customWidth="1"/>
    <col min="20" max="20" width="7.7109375" style="165" customWidth="1"/>
    <col min="21" max="21" width="10.140625" style="136" customWidth="1"/>
    <col min="22" max="22" width="9.85546875" style="136" customWidth="1"/>
    <col min="23" max="23" width="9.28515625" style="136" customWidth="1"/>
    <col min="24" max="24" width="9.140625" style="136" hidden="1" customWidth="1"/>
    <col min="25" max="25" width="0" style="136" hidden="1" customWidth="1"/>
    <col min="26" max="26" width="9.28515625" style="136" customWidth="1"/>
    <col min="27" max="28" width="0" style="136" hidden="1" customWidth="1"/>
    <col min="29" max="29" width="7.5703125" style="136" customWidth="1"/>
    <col min="30" max="16384" width="9.140625" style="136"/>
  </cols>
  <sheetData>
    <row r="1" spans="1:29" ht="24" customHeight="1" x14ac:dyDescent="0.25">
      <c r="A1" s="347" t="s">
        <v>0</v>
      </c>
      <c r="B1" s="347"/>
      <c r="C1" s="137"/>
      <c r="D1" s="135"/>
      <c r="E1" s="135"/>
      <c r="F1" s="137"/>
      <c r="G1" s="137"/>
      <c r="H1" s="135"/>
      <c r="I1" s="135"/>
      <c r="J1" s="135"/>
      <c r="K1" s="137"/>
      <c r="L1" s="137"/>
      <c r="M1" s="137"/>
      <c r="N1" s="137"/>
      <c r="O1" s="137"/>
      <c r="P1" s="137"/>
      <c r="Q1" s="137"/>
      <c r="R1" s="137"/>
      <c r="S1" s="135"/>
      <c r="T1" s="135"/>
      <c r="U1" s="135"/>
      <c r="V1" s="135"/>
      <c r="W1" s="359" t="s">
        <v>749</v>
      </c>
      <c r="X1" s="359"/>
      <c r="Y1" s="359"/>
      <c r="Z1" s="359"/>
      <c r="AA1" s="359"/>
      <c r="AB1" s="359"/>
      <c r="AC1" s="359"/>
    </row>
    <row r="2" spans="1:29" ht="24" customHeight="1" x14ac:dyDescent="0.25">
      <c r="A2" s="359" t="s">
        <v>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row>
    <row r="3" spans="1:29" ht="20.25" customHeight="1" x14ac:dyDescent="0.25">
      <c r="A3" s="359" t="s">
        <v>503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row>
    <row r="4" spans="1:29" s="138" customFormat="1" ht="22.5" customHeight="1" x14ac:dyDescent="0.25">
      <c r="A4" s="360" t="s">
        <v>747</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row>
    <row r="5" spans="1:29" ht="18.75" customHeight="1" x14ac:dyDescent="0.25">
      <c r="A5" s="364"/>
      <c r="B5" s="364"/>
      <c r="C5" s="364"/>
      <c r="D5" s="364"/>
      <c r="E5" s="364"/>
      <c r="F5" s="364"/>
      <c r="G5" s="364"/>
      <c r="H5" s="364"/>
      <c r="I5" s="364"/>
      <c r="J5" s="364"/>
      <c r="K5" s="364"/>
      <c r="L5" s="364"/>
      <c r="M5" s="364"/>
      <c r="N5" s="364"/>
      <c r="O5" s="364"/>
      <c r="P5" s="364"/>
      <c r="Q5" s="364"/>
      <c r="R5" s="364"/>
      <c r="S5" s="364"/>
      <c r="T5" s="364"/>
      <c r="W5" s="365" t="s">
        <v>354</v>
      </c>
      <c r="X5" s="365"/>
      <c r="Y5" s="365"/>
      <c r="Z5" s="365"/>
      <c r="AA5" s="365"/>
      <c r="AB5" s="365"/>
      <c r="AC5" s="365"/>
    </row>
    <row r="6" spans="1:29" s="5" customFormat="1" ht="18.75" customHeight="1" x14ac:dyDescent="0.25">
      <c r="A6" s="332" t="s">
        <v>4</v>
      </c>
      <c r="B6" s="332" t="s">
        <v>5</v>
      </c>
      <c r="C6" s="334" t="s">
        <v>355</v>
      </c>
      <c r="D6" s="332" t="s">
        <v>7</v>
      </c>
      <c r="E6" s="334" t="s">
        <v>10</v>
      </c>
      <c r="F6" s="332" t="s">
        <v>8</v>
      </c>
      <c r="G6" s="332" t="s">
        <v>9</v>
      </c>
      <c r="H6" s="332" t="s">
        <v>11</v>
      </c>
      <c r="I6" s="332"/>
      <c r="J6" s="332"/>
      <c r="K6" s="338" t="s">
        <v>12</v>
      </c>
      <c r="L6" s="339"/>
      <c r="M6" s="339"/>
      <c r="N6" s="339"/>
      <c r="O6" s="339"/>
      <c r="P6" s="339"/>
      <c r="Q6" s="339"/>
      <c r="R6" s="340"/>
      <c r="S6" s="338" t="s">
        <v>13</v>
      </c>
      <c r="T6" s="340"/>
      <c r="U6" s="338" t="s">
        <v>504</v>
      </c>
      <c r="V6" s="339"/>
      <c r="W6" s="338" t="s">
        <v>16</v>
      </c>
      <c r="X6" s="339"/>
      <c r="Y6" s="339"/>
      <c r="Z6" s="339"/>
      <c r="AA6" s="339"/>
      <c r="AB6" s="340"/>
      <c r="AC6" s="332" t="s">
        <v>17</v>
      </c>
    </row>
    <row r="7" spans="1:29" s="5" customFormat="1" ht="18.75" customHeight="1" x14ac:dyDescent="0.25">
      <c r="A7" s="332"/>
      <c r="B7" s="332"/>
      <c r="C7" s="335"/>
      <c r="D7" s="332"/>
      <c r="E7" s="335"/>
      <c r="F7" s="332"/>
      <c r="G7" s="332"/>
      <c r="H7" s="332" t="s">
        <v>18</v>
      </c>
      <c r="I7" s="332" t="s">
        <v>19</v>
      </c>
      <c r="J7" s="332"/>
      <c r="K7" s="341"/>
      <c r="L7" s="342"/>
      <c r="M7" s="342"/>
      <c r="N7" s="342"/>
      <c r="O7" s="342"/>
      <c r="P7" s="342"/>
      <c r="Q7" s="342"/>
      <c r="R7" s="343"/>
      <c r="S7" s="341"/>
      <c r="T7" s="343"/>
      <c r="U7" s="344"/>
      <c r="V7" s="345"/>
      <c r="W7" s="344"/>
      <c r="X7" s="345"/>
      <c r="Y7" s="345"/>
      <c r="Z7" s="345"/>
      <c r="AA7" s="345"/>
      <c r="AB7" s="346"/>
      <c r="AC7" s="332"/>
    </row>
    <row r="8" spans="1:29" s="5" customFormat="1" ht="33.75" customHeight="1" x14ac:dyDescent="0.25">
      <c r="A8" s="332"/>
      <c r="B8" s="332"/>
      <c r="C8" s="335"/>
      <c r="D8" s="332"/>
      <c r="E8" s="335"/>
      <c r="F8" s="332"/>
      <c r="G8" s="332"/>
      <c r="H8" s="332"/>
      <c r="I8" s="334" t="s">
        <v>20</v>
      </c>
      <c r="J8" s="334" t="s">
        <v>24</v>
      </c>
      <c r="K8" s="344"/>
      <c r="L8" s="345"/>
      <c r="M8" s="345"/>
      <c r="N8" s="345"/>
      <c r="O8" s="345"/>
      <c r="P8" s="345"/>
      <c r="Q8" s="345"/>
      <c r="R8" s="346"/>
      <c r="S8" s="344"/>
      <c r="T8" s="346"/>
      <c r="U8" s="332" t="s">
        <v>20</v>
      </c>
      <c r="V8" s="338" t="s">
        <v>24</v>
      </c>
      <c r="W8" s="332" t="s">
        <v>20</v>
      </c>
      <c r="X8" s="332" t="s">
        <v>505</v>
      </c>
      <c r="Y8" s="332"/>
      <c r="Z8" s="332"/>
      <c r="AA8" s="332"/>
      <c r="AB8" s="332"/>
      <c r="AC8" s="332"/>
    </row>
    <row r="9" spans="1:29" s="5" customFormat="1" ht="18.75" customHeight="1" x14ac:dyDescent="0.25">
      <c r="A9" s="332"/>
      <c r="B9" s="332"/>
      <c r="C9" s="335"/>
      <c r="D9" s="332"/>
      <c r="E9" s="335"/>
      <c r="F9" s="332"/>
      <c r="G9" s="332"/>
      <c r="H9" s="332"/>
      <c r="I9" s="335"/>
      <c r="J9" s="362"/>
      <c r="K9" s="334" t="s">
        <v>20</v>
      </c>
      <c r="L9" s="334" t="s">
        <v>24</v>
      </c>
      <c r="M9" s="334" t="s">
        <v>20</v>
      </c>
      <c r="N9" s="334" t="s">
        <v>21</v>
      </c>
      <c r="O9" s="334" t="s">
        <v>20</v>
      </c>
      <c r="P9" s="334" t="s">
        <v>21</v>
      </c>
      <c r="Q9" s="334" t="s">
        <v>20</v>
      </c>
      <c r="R9" s="334" t="s">
        <v>21</v>
      </c>
      <c r="S9" s="334" t="s">
        <v>20</v>
      </c>
      <c r="T9" s="334" t="s">
        <v>24</v>
      </c>
      <c r="U9" s="332"/>
      <c r="V9" s="341"/>
      <c r="W9" s="332"/>
      <c r="X9" s="332" t="s">
        <v>26</v>
      </c>
      <c r="Y9" s="332" t="s">
        <v>28</v>
      </c>
      <c r="Z9" s="332" t="s">
        <v>29</v>
      </c>
      <c r="AA9" s="332" t="s">
        <v>30</v>
      </c>
      <c r="AB9" s="332" t="s">
        <v>31</v>
      </c>
      <c r="AC9" s="332"/>
    </row>
    <row r="10" spans="1:29" s="5" customFormat="1" ht="48" customHeight="1" x14ac:dyDescent="0.25">
      <c r="A10" s="332"/>
      <c r="B10" s="332"/>
      <c r="C10" s="336"/>
      <c r="D10" s="332"/>
      <c r="E10" s="336"/>
      <c r="F10" s="332"/>
      <c r="G10" s="332"/>
      <c r="H10" s="332"/>
      <c r="I10" s="336"/>
      <c r="J10" s="363"/>
      <c r="K10" s="336"/>
      <c r="L10" s="336"/>
      <c r="M10" s="336"/>
      <c r="N10" s="336"/>
      <c r="O10" s="336"/>
      <c r="P10" s="336"/>
      <c r="Q10" s="336"/>
      <c r="R10" s="336"/>
      <c r="S10" s="336"/>
      <c r="T10" s="336"/>
      <c r="U10" s="332"/>
      <c r="V10" s="344"/>
      <c r="W10" s="332"/>
      <c r="X10" s="332"/>
      <c r="Y10" s="332"/>
      <c r="Z10" s="332"/>
      <c r="AA10" s="332"/>
      <c r="AB10" s="332"/>
      <c r="AC10" s="332"/>
    </row>
    <row r="11" spans="1:29" s="2" customFormat="1" ht="26.25" customHeight="1" x14ac:dyDescent="0.25">
      <c r="A11" s="167"/>
      <c r="B11" s="167" t="s">
        <v>357</v>
      </c>
      <c r="C11" s="168"/>
      <c r="D11" s="167"/>
      <c r="E11" s="167"/>
      <c r="F11" s="168"/>
      <c r="G11" s="168"/>
      <c r="H11" s="169"/>
      <c r="I11" s="170">
        <f t="shared" ref="I11:Z11" si="0">I12+I16</f>
        <v>1033767</v>
      </c>
      <c r="J11" s="170">
        <f t="shared" si="0"/>
        <v>1033767</v>
      </c>
      <c r="K11" s="170">
        <f t="shared" si="0"/>
        <v>0</v>
      </c>
      <c r="L11" s="170">
        <f t="shared" si="0"/>
        <v>0</v>
      </c>
      <c r="M11" s="170">
        <f t="shared" si="0"/>
        <v>280767</v>
      </c>
      <c r="N11" s="170">
        <f t="shared" si="0"/>
        <v>280767</v>
      </c>
      <c r="O11" s="170">
        <f t="shared" si="0"/>
        <v>280767</v>
      </c>
      <c r="P11" s="170">
        <f t="shared" si="0"/>
        <v>0</v>
      </c>
      <c r="Q11" s="170">
        <f t="shared" si="0"/>
        <v>84135</v>
      </c>
      <c r="R11" s="170">
        <f t="shared" si="0"/>
        <v>80000</v>
      </c>
      <c r="S11" s="170">
        <f t="shared" si="0"/>
        <v>8698</v>
      </c>
      <c r="T11" s="170">
        <f t="shared" si="0"/>
        <v>8698</v>
      </c>
      <c r="U11" s="170">
        <f t="shared" si="0"/>
        <v>1025069</v>
      </c>
      <c r="V11" s="170">
        <f t="shared" si="0"/>
        <v>1025069</v>
      </c>
      <c r="W11" s="170">
        <f t="shared" si="0"/>
        <v>108150</v>
      </c>
      <c r="X11" s="170">
        <f t="shared" si="0"/>
        <v>0</v>
      </c>
      <c r="Y11" s="170">
        <f t="shared" si="0"/>
        <v>0</v>
      </c>
      <c r="Z11" s="170">
        <f t="shared" si="0"/>
        <v>108150</v>
      </c>
      <c r="AA11" s="170">
        <f t="shared" ref="AA11:AB11" si="1">SUM(AA13:AA14)</f>
        <v>0</v>
      </c>
      <c r="AB11" s="170">
        <f t="shared" si="1"/>
        <v>0</v>
      </c>
      <c r="AC11" s="171"/>
    </row>
    <row r="12" spans="1:29" s="2" customFormat="1" ht="26.25" customHeight="1" x14ac:dyDescent="0.25">
      <c r="A12" s="106" t="s">
        <v>358</v>
      </c>
      <c r="B12" s="149" t="s">
        <v>359</v>
      </c>
      <c r="C12" s="110"/>
      <c r="D12" s="106"/>
      <c r="E12" s="106"/>
      <c r="F12" s="110"/>
      <c r="G12" s="110"/>
      <c r="H12" s="105"/>
      <c r="I12" s="150">
        <f>SUM(I13:I15)</f>
        <v>468767</v>
      </c>
      <c r="J12" s="150">
        <f t="shared" ref="J12:Z12" si="2">SUM(J13:J15)</f>
        <v>468767</v>
      </c>
      <c r="K12" s="150">
        <f t="shared" si="2"/>
        <v>0</v>
      </c>
      <c r="L12" s="150">
        <f t="shared" si="2"/>
        <v>0</v>
      </c>
      <c r="M12" s="150">
        <f t="shared" si="2"/>
        <v>280767</v>
      </c>
      <c r="N12" s="150">
        <f t="shared" si="2"/>
        <v>280767</v>
      </c>
      <c r="O12" s="150">
        <f t="shared" si="2"/>
        <v>280767</v>
      </c>
      <c r="P12" s="150">
        <f t="shared" si="2"/>
        <v>0</v>
      </c>
      <c r="Q12" s="150">
        <f t="shared" si="2"/>
        <v>84135</v>
      </c>
      <c r="R12" s="150">
        <f t="shared" si="2"/>
        <v>80000</v>
      </c>
      <c r="S12" s="150">
        <f t="shared" si="2"/>
        <v>6569</v>
      </c>
      <c r="T12" s="150">
        <f t="shared" si="2"/>
        <v>6569</v>
      </c>
      <c r="U12" s="150">
        <f t="shared" si="2"/>
        <v>462198</v>
      </c>
      <c r="V12" s="150">
        <f t="shared" si="2"/>
        <v>462198</v>
      </c>
      <c r="W12" s="150">
        <f t="shared" si="2"/>
        <v>66000</v>
      </c>
      <c r="X12" s="150">
        <f t="shared" si="2"/>
        <v>0</v>
      </c>
      <c r="Y12" s="150">
        <f t="shared" si="2"/>
        <v>0</v>
      </c>
      <c r="Z12" s="150">
        <f t="shared" si="2"/>
        <v>66000</v>
      </c>
      <c r="AA12" s="150">
        <f>SUM(AA13:AA17)</f>
        <v>0</v>
      </c>
      <c r="AB12" s="150">
        <f>SUM(AB13:AB17)</f>
        <v>0</v>
      </c>
      <c r="AC12" s="150">
        <f>SUM(AC13:AC17)</f>
        <v>0</v>
      </c>
    </row>
    <row r="13" spans="1:29" s="2" customFormat="1" ht="43.5" customHeight="1" x14ac:dyDescent="0.25">
      <c r="A13" s="46">
        <v>1</v>
      </c>
      <c r="B13" s="100" t="s">
        <v>506</v>
      </c>
      <c r="C13" s="110"/>
      <c r="D13" s="46" t="s">
        <v>507</v>
      </c>
      <c r="E13" s="80" t="s">
        <v>42</v>
      </c>
      <c r="F13" s="110"/>
      <c r="G13" s="110"/>
      <c r="H13" s="105" t="s">
        <v>508</v>
      </c>
      <c r="I13" s="102">
        <v>78000</v>
      </c>
      <c r="J13" s="102">
        <v>78000</v>
      </c>
      <c r="K13" s="42"/>
      <c r="L13" s="42"/>
      <c r="M13" s="42"/>
      <c r="N13" s="42"/>
      <c r="O13" s="42"/>
      <c r="P13" s="42"/>
      <c r="Q13" s="42"/>
      <c r="R13" s="42"/>
      <c r="S13" s="42">
        <f>T13</f>
        <v>2000</v>
      </c>
      <c r="T13" s="42">
        <v>2000</v>
      </c>
      <c r="U13" s="42">
        <f>V13</f>
        <v>76000</v>
      </c>
      <c r="V13" s="42">
        <f>J13-T13</f>
        <v>76000</v>
      </c>
      <c r="W13" s="42">
        <f>SUM(Y13:AB13)</f>
        <v>30000</v>
      </c>
      <c r="X13" s="42"/>
      <c r="Y13" s="42"/>
      <c r="Z13" s="42">
        <v>30000</v>
      </c>
      <c r="AA13" s="42"/>
      <c r="AB13" s="42"/>
      <c r="AC13" s="111"/>
    </row>
    <row r="14" spans="1:29" s="172" customFormat="1" ht="41.25" customHeight="1" x14ac:dyDescent="0.2">
      <c r="A14" s="46">
        <v>2</v>
      </c>
      <c r="B14" s="82" t="s">
        <v>509</v>
      </c>
      <c r="C14" s="46">
        <v>7901427</v>
      </c>
      <c r="D14" s="46" t="s">
        <v>40</v>
      </c>
      <c r="E14" s="80" t="s">
        <v>42</v>
      </c>
      <c r="F14" s="46" t="s">
        <v>510</v>
      </c>
      <c r="G14" s="46" t="s">
        <v>511</v>
      </c>
      <c r="H14" s="46" t="s">
        <v>512</v>
      </c>
      <c r="I14" s="47">
        <v>280767</v>
      </c>
      <c r="J14" s="47">
        <v>280767</v>
      </c>
      <c r="K14" s="47"/>
      <c r="L14" s="47"/>
      <c r="M14" s="47">
        <v>280767</v>
      </c>
      <c r="N14" s="47">
        <f t="shared" ref="N14" si="3">O14+P14</f>
        <v>280767</v>
      </c>
      <c r="O14" s="47">
        <v>280767</v>
      </c>
      <c r="P14" s="47">
        <f t="shared" ref="P14" si="4">M14-O14</f>
        <v>0</v>
      </c>
      <c r="Q14" s="47">
        <f t="shared" ref="Q14" si="5">R14+S14</f>
        <v>84135</v>
      </c>
      <c r="R14" s="47">
        <v>80000</v>
      </c>
      <c r="S14" s="42">
        <f t="shared" ref="S14" si="6">T14</f>
        <v>4135</v>
      </c>
      <c r="T14" s="42">
        <f>3170+965</f>
        <v>4135</v>
      </c>
      <c r="U14" s="42">
        <f t="shared" ref="U14" si="7">V14</f>
        <v>276632</v>
      </c>
      <c r="V14" s="42">
        <f t="shared" ref="V14" si="8">J14-T14</f>
        <v>276632</v>
      </c>
      <c r="W14" s="42">
        <f t="shared" ref="W14" si="9">SUM(Y14:AB14)</f>
        <v>35000</v>
      </c>
      <c r="X14" s="42"/>
      <c r="Y14" s="42"/>
      <c r="Z14" s="42">
        <v>35000</v>
      </c>
      <c r="AA14" s="48"/>
      <c r="AB14" s="48"/>
      <c r="AC14" s="48"/>
    </row>
    <row r="15" spans="1:29" ht="51" x14ac:dyDescent="0.25">
      <c r="A15" s="46">
        <v>3</v>
      </c>
      <c r="B15" s="82" t="s">
        <v>513</v>
      </c>
      <c r="C15" s="115"/>
      <c r="D15" s="46" t="s">
        <v>40</v>
      </c>
      <c r="E15" s="80" t="s">
        <v>42</v>
      </c>
      <c r="F15" s="46" t="s">
        <v>510</v>
      </c>
      <c r="G15" s="46" t="s">
        <v>511</v>
      </c>
      <c r="H15" s="46" t="s">
        <v>514</v>
      </c>
      <c r="I15" s="47">
        <v>110000</v>
      </c>
      <c r="J15" s="47">
        <v>110000</v>
      </c>
      <c r="K15" s="173"/>
      <c r="L15" s="173"/>
      <c r="M15" s="173"/>
      <c r="N15" s="173"/>
      <c r="O15" s="174"/>
      <c r="P15" s="175"/>
      <c r="Q15" s="175"/>
      <c r="R15" s="175"/>
      <c r="S15" s="42">
        <f>T15</f>
        <v>434</v>
      </c>
      <c r="T15" s="42">
        <v>434</v>
      </c>
      <c r="U15" s="42">
        <f>V15</f>
        <v>109566</v>
      </c>
      <c r="V15" s="42">
        <f>J15-T15</f>
        <v>109566</v>
      </c>
      <c r="W15" s="42">
        <v>1000</v>
      </c>
      <c r="X15" s="42"/>
      <c r="Y15" s="42"/>
      <c r="Z15" s="42">
        <v>1000</v>
      </c>
      <c r="AA15" s="173"/>
      <c r="AB15" s="173"/>
      <c r="AC15" s="173"/>
    </row>
    <row r="16" spans="1:29" s="2" customFormat="1" ht="26.25" customHeight="1" x14ac:dyDescent="0.25">
      <c r="A16" s="106" t="s">
        <v>487</v>
      </c>
      <c r="B16" s="149" t="s">
        <v>488</v>
      </c>
      <c r="C16" s="110"/>
      <c r="D16" s="106"/>
      <c r="E16" s="106"/>
      <c r="F16" s="110"/>
      <c r="G16" s="110"/>
      <c r="H16" s="105"/>
      <c r="I16" s="150">
        <f t="shared" ref="I16:Z16" si="10">SUM(I17:I17)</f>
        <v>565000</v>
      </c>
      <c r="J16" s="150">
        <f t="shared" si="10"/>
        <v>565000</v>
      </c>
      <c r="K16" s="150">
        <f t="shared" si="10"/>
        <v>0</v>
      </c>
      <c r="L16" s="150">
        <f t="shared" si="10"/>
        <v>0</v>
      </c>
      <c r="M16" s="150">
        <f t="shared" si="10"/>
        <v>0</v>
      </c>
      <c r="N16" s="150">
        <f t="shared" si="10"/>
        <v>0</v>
      </c>
      <c r="O16" s="150">
        <f t="shared" si="10"/>
        <v>0</v>
      </c>
      <c r="P16" s="150">
        <f t="shared" si="10"/>
        <v>0</v>
      </c>
      <c r="Q16" s="150">
        <f t="shared" si="10"/>
        <v>0</v>
      </c>
      <c r="R16" s="150">
        <f t="shared" si="10"/>
        <v>0</v>
      </c>
      <c r="S16" s="150">
        <f t="shared" si="10"/>
        <v>2129</v>
      </c>
      <c r="T16" s="150">
        <f t="shared" si="10"/>
        <v>2129</v>
      </c>
      <c r="U16" s="150">
        <f t="shared" si="10"/>
        <v>562871</v>
      </c>
      <c r="V16" s="150">
        <f t="shared" si="10"/>
        <v>562871</v>
      </c>
      <c r="W16" s="150">
        <f t="shared" si="10"/>
        <v>42150</v>
      </c>
      <c r="X16" s="150">
        <f t="shared" si="10"/>
        <v>0</v>
      </c>
      <c r="Y16" s="150">
        <f t="shared" si="10"/>
        <v>0</v>
      </c>
      <c r="Z16" s="150">
        <f t="shared" si="10"/>
        <v>42150</v>
      </c>
      <c r="AA16" s="150">
        <f>AA15</f>
        <v>0</v>
      </c>
      <c r="AB16" s="150">
        <f>AB15</f>
        <v>0</v>
      </c>
      <c r="AC16" s="150"/>
    </row>
    <row r="17" spans="1:29" ht="51" x14ac:dyDescent="0.25">
      <c r="A17" s="118">
        <v>1</v>
      </c>
      <c r="B17" s="176" t="s">
        <v>515</v>
      </c>
      <c r="C17" s="177"/>
      <c r="D17" s="118" t="s">
        <v>40</v>
      </c>
      <c r="E17" s="178" t="s">
        <v>42</v>
      </c>
      <c r="F17" s="118" t="s">
        <v>510</v>
      </c>
      <c r="G17" s="118" t="s">
        <v>511</v>
      </c>
      <c r="H17" s="118" t="s">
        <v>516</v>
      </c>
      <c r="I17" s="179">
        <v>565000</v>
      </c>
      <c r="J17" s="179">
        <v>565000</v>
      </c>
      <c r="K17" s="180"/>
      <c r="L17" s="180"/>
      <c r="M17" s="180"/>
      <c r="N17" s="180"/>
      <c r="O17" s="181"/>
      <c r="P17" s="182"/>
      <c r="Q17" s="182"/>
      <c r="R17" s="182"/>
      <c r="S17" s="123">
        <f>T17</f>
        <v>2129</v>
      </c>
      <c r="T17" s="123">
        <v>2129</v>
      </c>
      <c r="U17" s="123">
        <f>V17</f>
        <v>562871</v>
      </c>
      <c r="V17" s="123">
        <f>J17-T17</f>
        <v>562871</v>
      </c>
      <c r="W17" s="123">
        <f>SUM(Y17:AB17)</f>
        <v>42150</v>
      </c>
      <c r="X17" s="183"/>
      <c r="Y17" s="183"/>
      <c r="Z17" s="183">
        <f>42000-150+300</f>
        <v>42150</v>
      </c>
      <c r="AA17" s="180"/>
      <c r="AB17" s="180"/>
      <c r="AC17" s="177"/>
    </row>
  </sheetData>
  <mergeCells count="43">
    <mergeCell ref="F6:F10"/>
    <mergeCell ref="A1:B1"/>
    <mergeCell ref="W1:AC1"/>
    <mergeCell ref="A2:AC2"/>
    <mergeCell ref="A3:AC3"/>
    <mergeCell ref="A4:AC4"/>
    <mergeCell ref="A5:T5"/>
    <mergeCell ref="W5:AC5"/>
    <mergeCell ref="A6:A10"/>
    <mergeCell ref="B6:B10"/>
    <mergeCell ref="C6:C10"/>
    <mergeCell ref="D6:D10"/>
    <mergeCell ref="E6:E10"/>
    <mergeCell ref="G6:G10"/>
    <mergeCell ref="H6:J6"/>
    <mergeCell ref="K6:R8"/>
    <mergeCell ref="S6:T8"/>
    <mergeCell ref="U6:V7"/>
    <mergeCell ref="L9:L10"/>
    <mergeCell ref="M9:M10"/>
    <mergeCell ref="N9:N10"/>
    <mergeCell ref="O9:O10"/>
    <mergeCell ref="AC6:AC10"/>
    <mergeCell ref="H7:H10"/>
    <mergeCell ref="I7:J7"/>
    <mergeCell ref="I8:I10"/>
    <mergeCell ref="J8:J10"/>
    <mergeCell ref="U8:U10"/>
    <mergeCell ref="V8:V10"/>
    <mergeCell ref="W8:W10"/>
    <mergeCell ref="X8:AB8"/>
    <mergeCell ref="K9:K10"/>
    <mergeCell ref="W6:AB7"/>
    <mergeCell ref="Y9:Y10"/>
    <mergeCell ref="Z9:Z10"/>
    <mergeCell ref="AA9:AA10"/>
    <mergeCell ref="AB9:AB10"/>
    <mergeCell ref="P9:P10"/>
    <mergeCell ref="Q9:Q10"/>
    <mergeCell ref="R9:R10"/>
    <mergeCell ref="S9:S10"/>
    <mergeCell ref="T9:T10"/>
    <mergeCell ref="X9:X10"/>
  </mergeCells>
  <conditionalFormatting sqref="B14">
    <cfRule type="duplicateValues" dxfId="11" priority="3"/>
  </conditionalFormatting>
  <conditionalFormatting sqref="B15">
    <cfRule type="duplicateValues" dxfId="10" priority="1"/>
  </conditionalFormatting>
  <conditionalFormatting sqref="B17">
    <cfRule type="duplicateValues" dxfId="9" priority="2"/>
  </conditionalFormatting>
  <pageMargins left="0.25" right="0.25"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137D-B330-429A-8791-2C7FFB02FA8C}">
  <sheetPr>
    <tabColor rgb="FF92D050"/>
    <pageSetUpPr fitToPage="1"/>
  </sheetPr>
  <dimension ref="A1:BB190"/>
  <sheetViews>
    <sheetView workbookViewId="0">
      <selection activeCell="A2" sqref="A2:AS2"/>
    </sheetView>
  </sheetViews>
  <sheetFormatPr defaultColWidth="9.140625" defaultRowHeight="18.75" x14ac:dyDescent="0.25"/>
  <cols>
    <col min="1" max="1" width="5.140625" style="128" customWidth="1"/>
    <col min="2" max="2" width="30" style="129" customWidth="1"/>
    <col min="3" max="3" width="7.5703125" style="129" customWidth="1"/>
    <col min="4" max="4" width="8.28515625" style="130" hidden="1" customWidth="1"/>
    <col min="5" max="5" width="6" style="130" hidden="1" customWidth="1"/>
    <col min="6" max="6" width="8.28515625" style="130" hidden="1" customWidth="1"/>
    <col min="7" max="7" width="6.5703125" style="130" hidden="1" customWidth="1"/>
    <col min="8" max="8" width="6.42578125" style="130" customWidth="1"/>
    <col min="9" max="9" width="10" style="130" customWidth="1"/>
    <col min="10" max="10" width="15.5703125" style="130" customWidth="1"/>
    <col min="11" max="11" width="10.42578125" style="103" customWidth="1"/>
    <col min="12" max="12" width="10.28515625" style="103" customWidth="1"/>
    <col min="13" max="13" width="8.28515625" style="103" hidden="1" customWidth="1"/>
    <col min="14" max="14" width="8.28515625" style="103" customWidth="1"/>
    <col min="15" max="15" width="9.7109375" style="103" customWidth="1"/>
    <col min="16" max="16" width="9.5703125" style="103" customWidth="1"/>
    <col min="17" max="17" width="8.42578125" style="103" customWidth="1"/>
    <col min="18" max="18" width="9.42578125" style="103" hidden="1" customWidth="1"/>
    <col min="19" max="19" width="9" style="103" hidden="1" customWidth="1"/>
    <col min="20" max="20" width="11.140625" style="103" hidden="1" customWidth="1"/>
    <col min="21" max="21" width="8.140625" style="103" hidden="1" customWidth="1"/>
    <col min="22" max="23" width="9" style="103" hidden="1" customWidth="1"/>
    <col min="24" max="24" width="9.28515625" style="103" hidden="1" customWidth="1"/>
    <col min="25" max="26" width="9" style="103" hidden="1" customWidth="1"/>
    <col min="27" max="27" width="11.5703125" style="103" hidden="1" customWidth="1"/>
    <col min="28" max="30" width="8" style="103" hidden="1" customWidth="1"/>
    <col min="31" max="31" width="10.5703125" style="103" hidden="1" customWidth="1"/>
    <col min="32" max="32" width="10.7109375" style="103" hidden="1" customWidth="1"/>
    <col min="33" max="35" width="8" style="103" hidden="1" customWidth="1"/>
    <col min="36" max="36" width="10.85546875" style="103" hidden="1" customWidth="1"/>
    <col min="37" max="37" width="9" style="103" customWidth="1"/>
    <col min="38" max="38" width="10.28515625" style="103" customWidth="1"/>
    <col min="39" max="39" width="8.7109375" style="103" customWidth="1"/>
    <col min="40" max="41" width="8" style="103" hidden="1" customWidth="1"/>
    <col min="42" max="42" width="9.28515625" style="103" hidden="1" customWidth="1"/>
    <col min="43" max="44" width="8.140625" style="103" customWidth="1"/>
    <col min="45" max="45" width="7.140625" style="2" customWidth="1"/>
    <col min="46" max="52" width="9.140625" style="2" hidden="1" customWidth="1"/>
    <col min="53" max="54" width="0" style="2" hidden="1" customWidth="1"/>
    <col min="55" max="16384" width="9.140625" style="2"/>
  </cols>
  <sheetData>
    <row r="1" spans="1:49" x14ac:dyDescent="0.25">
      <c r="A1" s="347" t="s">
        <v>0</v>
      </c>
      <c r="B1" s="347"/>
      <c r="AM1" s="372" t="s">
        <v>750</v>
      </c>
      <c r="AN1" s="372"/>
      <c r="AO1" s="372"/>
      <c r="AP1" s="372"/>
      <c r="AQ1" s="372"/>
      <c r="AR1" s="372"/>
      <c r="AS1" s="372"/>
    </row>
    <row r="2" spans="1:49" s="250" customFormat="1" ht="21.75" customHeight="1" x14ac:dyDescent="0.25">
      <c r="A2" s="348" t="s">
        <v>1</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row>
    <row r="3" spans="1:49" s="250" customFormat="1" ht="26.25" hidden="1" customHeight="1" x14ac:dyDescent="0.25">
      <c r="A3" s="373" t="str">
        <f>[22]B1!A3:N3</f>
        <v>(Kèm theo Công văn số                SKHĐT-TH ngày  tháng 7 năm 2017 của Sở Kế hoạch và Đầu tư)</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252"/>
      <c r="AL3" s="251"/>
      <c r="AM3" s="251"/>
      <c r="AN3" s="251"/>
      <c r="AO3" s="251"/>
      <c r="AP3" s="251"/>
      <c r="AQ3" s="251"/>
      <c r="AR3" s="253"/>
    </row>
    <row r="4" spans="1:49" s="250" customFormat="1" ht="19.5" customHeight="1" x14ac:dyDescent="0.25">
      <c r="A4" s="348" t="s">
        <v>619</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row>
    <row r="5" spans="1:49" s="250" customFormat="1" ht="21.75" customHeight="1" x14ac:dyDescent="0.25">
      <c r="A5" s="349" t="s">
        <v>747</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row>
    <row r="6" spans="1:49" s="3" customFormat="1" x14ac:dyDescent="0.25">
      <c r="A6" s="371" t="s">
        <v>3</v>
      </c>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row>
    <row r="7" spans="1:49" s="7" customFormat="1" ht="19.5" customHeight="1" x14ac:dyDescent="0.25">
      <c r="A7" s="332" t="s">
        <v>4</v>
      </c>
      <c r="B7" s="332" t="s">
        <v>5</v>
      </c>
      <c r="C7" s="332" t="s">
        <v>355</v>
      </c>
      <c r="D7" s="332" t="s">
        <v>620</v>
      </c>
      <c r="E7" s="332" t="s">
        <v>621</v>
      </c>
      <c r="F7" s="332" t="s">
        <v>622</v>
      </c>
      <c r="G7" s="332" t="s">
        <v>623</v>
      </c>
      <c r="H7" s="332" t="s">
        <v>624</v>
      </c>
      <c r="I7" s="332" t="s">
        <v>10</v>
      </c>
      <c r="J7" s="332" t="s">
        <v>625</v>
      </c>
      <c r="K7" s="332"/>
      <c r="L7" s="332"/>
      <c r="M7" s="332"/>
      <c r="N7" s="332"/>
      <c r="O7" s="332"/>
      <c r="P7" s="332"/>
      <c r="Q7" s="332"/>
      <c r="R7" s="332" t="s">
        <v>626</v>
      </c>
      <c r="S7" s="332"/>
      <c r="T7" s="332"/>
      <c r="U7" s="332"/>
      <c r="V7" s="332"/>
      <c r="W7" s="332"/>
      <c r="X7" s="332"/>
      <c r="Y7" s="332"/>
      <c r="Z7" s="332"/>
      <c r="AA7" s="332" t="s">
        <v>627</v>
      </c>
      <c r="AB7" s="332"/>
      <c r="AC7" s="332"/>
      <c r="AD7" s="332"/>
      <c r="AE7" s="332"/>
      <c r="AF7" s="332"/>
      <c r="AG7" s="332"/>
      <c r="AH7" s="332"/>
      <c r="AI7" s="332"/>
      <c r="AJ7" s="332"/>
      <c r="AK7" s="332" t="s">
        <v>16</v>
      </c>
      <c r="AL7" s="332"/>
      <c r="AM7" s="332"/>
      <c r="AN7" s="332"/>
      <c r="AO7" s="332"/>
      <c r="AP7" s="332"/>
      <c r="AQ7" s="332"/>
      <c r="AR7" s="332"/>
      <c r="AS7" s="332" t="s">
        <v>17</v>
      </c>
    </row>
    <row r="8" spans="1:49" s="7" customFormat="1" ht="15" customHeight="1" x14ac:dyDescent="0.25">
      <c r="A8" s="332"/>
      <c r="B8" s="332"/>
      <c r="C8" s="332"/>
      <c r="D8" s="332"/>
      <c r="E8" s="332"/>
      <c r="F8" s="332"/>
      <c r="G8" s="332"/>
      <c r="H8" s="332"/>
      <c r="I8" s="332"/>
      <c r="J8" s="332" t="s">
        <v>628</v>
      </c>
      <c r="K8" s="332" t="s">
        <v>19</v>
      </c>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row>
    <row r="9" spans="1:49" s="7" customFormat="1" ht="16.5" customHeight="1" x14ac:dyDescent="0.25">
      <c r="A9" s="332"/>
      <c r="B9" s="332"/>
      <c r="C9" s="332"/>
      <c r="D9" s="332"/>
      <c r="E9" s="332"/>
      <c r="F9" s="332"/>
      <c r="G9" s="332"/>
      <c r="H9" s="332"/>
      <c r="I9" s="332"/>
      <c r="J9" s="332"/>
      <c r="K9" s="332" t="s">
        <v>20</v>
      </c>
      <c r="L9" s="370" t="s">
        <v>629</v>
      </c>
      <c r="M9" s="370"/>
      <c r="N9" s="370"/>
      <c r="O9" s="370"/>
      <c r="P9" s="370"/>
      <c r="Q9" s="370"/>
      <c r="R9" s="332" t="s">
        <v>630</v>
      </c>
      <c r="S9" s="332"/>
      <c r="T9" s="332"/>
      <c r="U9" s="332" t="s">
        <v>631</v>
      </c>
      <c r="V9" s="332"/>
      <c r="W9" s="332"/>
      <c r="X9" s="332" t="s">
        <v>632</v>
      </c>
      <c r="Y9" s="332"/>
      <c r="Z9" s="332"/>
      <c r="AA9" s="332" t="s">
        <v>22</v>
      </c>
      <c r="AB9" s="332"/>
      <c r="AC9" s="332"/>
      <c r="AD9" s="332"/>
      <c r="AE9" s="332"/>
      <c r="AF9" s="332" t="s">
        <v>633</v>
      </c>
      <c r="AG9" s="332"/>
      <c r="AH9" s="332"/>
      <c r="AI9" s="332"/>
      <c r="AJ9" s="332"/>
      <c r="AK9" s="332"/>
      <c r="AL9" s="332"/>
      <c r="AM9" s="332"/>
      <c r="AN9" s="332"/>
      <c r="AO9" s="332"/>
      <c r="AP9" s="332"/>
      <c r="AQ9" s="332"/>
      <c r="AR9" s="332"/>
      <c r="AS9" s="332"/>
    </row>
    <row r="10" spans="1:49" s="7" customFormat="1" ht="40.5" customHeight="1" x14ac:dyDescent="0.25">
      <c r="A10" s="332"/>
      <c r="B10" s="332"/>
      <c r="C10" s="332"/>
      <c r="D10" s="332"/>
      <c r="E10" s="332"/>
      <c r="F10" s="332"/>
      <c r="G10" s="332"/>
      <c r="H10" s="332"/>
      <c r="I10" s="332"/>
      <c r="J10" s="332"/>
      <c r="K10" s="332"/>
      <c r="L10" s="332" t="s">
        <v>634</v>
      </c>
      <c r="M10" s="332"/>
      <c r="N10" s="332" t="s">
        <v>635</v>
      </c>
      <c r="O10" s="332"/>
      <c r="P10" s="332"/>
      <c r="Q10" s="332"/>
      <c r="R10" s="332" t="s">
        <v>26</v>
      </c>
      <c r="S10" s="332" t="s">
        <v>27</v>
      </c>
      <c r="T10" s="332"/>
      <c r="U10" s="332" t="s">
        <v>26</v>
      </c>
      <c r="V10" s="332" t="s">
        <v>27</v>
      </c>
      <c r="W10" s="332"/>
      <c r="X10" s="332" t="s">
        <v>26</v>
      </c>
      <c r="Y10" s="332" t="s">
        <v>27</v>
      </c>
      <c r="Z10" s="332"/>
      <c r="AA10" s="332" t="s">
        <v>26</v>
      </c>
      <c r="AB10" s="332" t="s">
        <v>27</v>
      </c>
      <c r="AC10" s="332"/>
      <c r="AD10" s="332"/>
      <c r="AE10" s="332"/>
      <c r="AF10" s="332" t="s">
        <v>26</v>
      </c>
      <c r="AG10" s="332" t="s">
        <v>27</v>
      </c>
      <c r="AH10" s="332"/>
      <c r="AI10" s="332"/>
      <c r="AJ10" s="332"/>
      <c r="AK10" s="332" t="s">
        <v>26</v>
      </c>
      <c r="AL10" s="356" t="s">
        <v>636</v>
      </c>
      <c r="AM10" s="357"/>
      <c r="AN10" s="357"/>
      <c r="AO10" s="357"/>
      <c r="AP10" s="357"/>
      <c r="AQ10" s="358"/>
      <c r="AR10" s="332" t="s">
        <v>637</v>
      </c>
      <c r="AS10" s="332"/>
    </row>
    <row r="11" spans="1:49" s="7" customFormat="1" ht="33.75" hidden="1" customHeight="1" x14ac:dyDescent="0.25">
      <c r="A11" s="332"/>
      <c r="B11" s="332"/>
      <c r="C11" s="332"/>
      <c r="D11" s="332"/>
      <c r="E11" s="332"/>
      <c r="F11" s="332"/>
      <c r="G11" s="332"/>
      <c r="H11" s="332"/>
      <c r="I11" s="332"/>
      <c r="J11" s="332"/>
      <c r="K11" s="332"/>
      <c r="L11" s="332"/>
      <c r="M11" s="332"/>
      <c r="N11" s="332"/>
      <c r="O11" s="332"/>
      <c r="P11" s="332"/>
      <c r="Q11" s="332"/>
      <c r="R11" s="332"/>
      <c r="S11" s="332" t="s">
        <v>638</v>
      </c>
      <c r="T11" s="332" t="s">
        <v>639</v>
      </c>
      <c r="U11" s="332"/>
      <c r="V11" s="332" t="s">
        <v>640</v>
      </c>
      <c r="W11" s="332" t="s">
        <v>639</v>
      </c>
      <c r="X11" s="332"/>
      <c r="Y11" s="332" t="s">
        <v>640</v>
      </c>
      <c r="Z11" s="332" t="s">
        <v>639</v>
      </c>
      <c r="AA11" s="332"/>
      <c r="AB11" s="369" t="s">
        <v>641</v>
      </c>
      <c r="AC11" s="369"/>
      <c r="AD11" s="369"/>
      <c r="AE11" s="332" t="s">
        <v>642</v>
      </c>
      <c r="AF11" s="332"/>
      <c r="AG11" s="369" t="s">
        <v>641</v>
      </c>
      <c r="AH11" s="369"/>
      <c r="AI11" s="369"/>
      <c r="AJ11" s="332" t="s">
        <v>642</v>
      </c>
      <c r="AK11" s="332"/>
      <c r="AL11" s="332" t="s">
        <v>26</v>
      </c>
      <c r="AM11" s="332" t="s">
        <v>28</v>
      </c>
      <c r="AN11" s="254"/>
      <c r="AO11" s="254"/>
      <c r="AP11" s="332" t="s">
        <v>642</v>
      </c>
      <c r="AQ11" s="4"/>
      <c r="AR11" s="332"/>
      <c r="AS11" s="332"/>
    </row>
    <row r="12" spans="1:49" s="7" customFormat="1" ht="17.25" customHeight="1" x14ac:dyDescent="0.25">
      <c r="A12" s="332"/>
      <c r="B12" s="332"/>
      <c r="C12" s="332"/>
      <c r="D12" s="332"/>
      <c r="E12" s="332"/>
      <c r="F12" s="332"/>
      <c r="G12" s="332"/>
      <c r="H12" s="332"/>
      <c r="I12" s="332"/>
      <c r="J12" s="332"/>
      <c r="K12" s="332"/>
      <c r="L12" s="332" t="s">
        <v>26</v>
      </c>
      <c r="M12" s="332" t="s">
        <v>643</v>
      </c>
      <c r="N12" s="332" t="s">
        <v>644</v>
      </c>
      <c r="O12" s="332" t="s">
        <v>645</v>
      </c>
      <c r="P12" s="332"/>
      <c r="Q12" s="332"/>
      <c r="R12" s="332"/>
      <c r="S12" s="332"/>
      <c r="T12" s="332"/>
      <c r="U12" s="332"/>
      <c r="V12" s="332"/>
      <c r="W12" s="332"/>
      <c r="X12" s="332"/>
      <c r="Y12" s="332"/>
      <c r="Z12" s="332"/>
      <c r="AA12" s="332"/>
      <c r="AB12" s="332" t="s">
        <v>26</v>
      </c>
      <c r="AC12" s="332" t="s">
        <v>27</v>
      </c>
      <c r="AD12" s="332"/>
      <c r="AE12" s="332"/>
      <c r="AF12" s="332"/>
      <c r="AG12" s="332" t="s">
        <v>26</v>
      </c>
      <c r="AH12" s="332" t="s">
        <v>27</v>
      </c>
      <c r="AI12" s="332"/>
      <c r="AJ12" s="332"/>
      <c r="AK12" s="332"/>
      <c r="AL12" s="332"/>
      <c r="AM12" s="332"/>
      <c r="AN12" s="254" t="s">
        <v>27</v>
      </c>
      <c r="AO12" s="254"/>
      <c r="AP12" s="332"/>
      <c r="AQ12" s="366" t="s">
        <v>29</v>
      </c>
      <c r="AR12" s="332"/>
      <c r="AS12" s="332"/>
    </row>
    <row r="13" spans="1:49" s="7" customFormat="1" ht="19.5" customHeight="1" x14ac:dyDescent="0.25">
      <c r="A13" s="332"/>
      <c r="B13" s="332"/>
      <c r="C13" s="332"/>
      <c r="D13" s="332"/>
      <c r="E13" s="332"/>
      <c r="F13" s="332"/>
      <c r="G13" s="332"/>
      <c r="H13" s="332"/>
      <c r="I13" s="332"/>
      <c r="J13" s="332"/>
      <c r="K13" s="332"/>
      <c r="L13" s="332"/>
      <c r="M13" s="332"/>
      <c r="N13" s="332"/>
      <c r="O13" s="332" t="s">
        <v>26</v>
      </c>
      <c r="P13" s="332" t="s">
        <v>27</v>
      </c>
      <c r="Q13" s="332"/>
      <c r="R13" s="332"/>
      <c r="S13" s="332"/>
      <c r="T13" s="332"/>
      <c r="U13" s="332"/>
      <c r="V13" s="332"/>
      <c r="W13" s="332"/>
      <c r="X13" s="332"/>
      <c r="Y13" s="332"/>
      <c r="Z13" s="332"/>
      <c r="AA13" s="332"/>
      <c r="AB13" s="332"/>
      <c r="AC13" s="333" t="s">
        <v>32</v>
      </c>
      <c r="AD13" s="333" t="s">
        <v>34</v>
      </c>
      <c r="AE13" s="332"/>
      <c r="AF13" s="332"/>
      <c r="AG13" s="332"/>
      <c r="AH13" s="333" t="s">
        <v>32</v>
      </c>
      <c r="AI13" s="333" t="s">
        <v>34</v>
      </c>
      <c r="AJ13" s="332"/>
      <c r="AK13" s="332"/>
      <c r="AL13" s="332"/>
      <c r="AM13" s="332"/>
      <c r="AN13" s="256" t="s">
        <v>32</v>
      </c>
      <c r="AO13" s="256" t="s">
        <v>34</v>
      </c>
      <c r="AP13" s="332"/>
      <c r="AQ13" s="367"/>
      <c r="AR13" s="332"/>
      <c r="AS13" s="332"/>
    </row>
    <row r="14" spans="1:49" s="7" customFormat="1" ht="45.75" customHeight="1" x14ac:dyDescent="0.25">
      <c r="A14" s="332"/>
      <c r="B14" s="332"/>
      <c r="C14" s="332"/>
      <c r="D14" s="332"/>
      <c r="E14" s="332"/>
      <c r="F14" s="332"/>
      <c r="G14" s="332"/>
      <c r="H14" s="332"/>
      <c r="I14" s="332"/>
      <c r="J14" s="332"/>
      <c r="K14" s="332"/>
      <c r="L14" s="332"/>
      <c r="M14" s="332"/>
      <c r="N14" s="332"/>
      <c r="O14" s="332"/>
      <c r="P14" s="4" t="s">
        <v>646</v>
      </c>
      <c r="Q14" s="4" t="s">
        <v>647</v>
      </c>
      <c r="R14" s="332"/>
      <c r="S14" s="332"/>
      <c r="T14" s="332"/>
      <c r="U14" s="332"/>
      <c r="V14" s="332"/>
      <c r="W14" s="332"/>
      <c r="X14" s="332"/>
      <c r="Y14" s="332"/>
      <c r="Z14" s="332"/>
      <c r="AA14" s="332"/>
      <c r="AB14" s="332"/>
      <c r="AC14" s="333"/>
      <c r="AD14" s="333"/>
      <c r="AE14" s="332"/>
      <c r="AF14" s="332"/>
      <c r="AG14" s="332"/>
      <c r="AH14" s="333"/>
      <c r="AI14" s="333"/>
      <c r="AJ14" s="332"/>
      <c r="AK14" s="332"/>
      <c r="AL14" s="332"/>
      <c r="AM14" s="332"/>
      <c r="AN14" s="256"/>
      <c r="AO14" s="256"/>
      <c r="AP14" s="332"/>
      <c r="AQ14" s="368"/>
      <c r="AR14" s="332"/>
      <c r="AS14" s="332"/>
    </row>
    <row r="15" spans="1:49" s="12" customFormat="1" ht="21.75" hidden="1" customHeight="1" x14ac:dyDescent="0.25">
      <c r="A15" s="258" t="s">
        <v>38</v>
      </c>
      <c r="B15" s="258">
        <v>2</v>
      </c>
      <c r="C15" s="258">
        <v>3</v>
      </c>
      <c r="D15" s="258">
        <v>4</v>
      </c>
      <c r="E15" s="258">
        <v>5</v>
      </c>
      <c r="F15" s="258">
        <v>6</v>
      </c>
      <c r="G15" s="258">
        <v>7</v>
      </c>
      <c r="H15" s="258"/>
      <c r="I15" s="258"/>
      <c r="J15" s="258">
        <v>8</v>
      </c>
      <c r="K15" s="258">
        <v>9</v>
      </c>
      <c r="L15" s="258">
        <v>10</v>
      </c>
      <c r="M15" s="258">
        <v>11</v>
      </c>
      <c r="N15" s="258">
        <v>12</v>
      </c>
      <c r="O15" s="258">
        <v>13</v>
      </c>
      <c r="P15" s="258">
        <v>14</v>
      </c>
      <c r="Q15" s="258">
        <v>15</v>
      </c>
      <c r="R15" s="258">
        <v>16</v>
      </c>
      <c r="S15" s="258">
        <v>17</v>
      </c>
      <c r="T15" s="258">
        <v>18</v>
      </c>
      <c r="U15" s="258">
        <v>19</v>
      </c>
      <c r="V15" s="258">
        <v>20</v>
      </c>
      <c r="W15" s="258">
        <v>21</v>
      </c>
      <c r="X15" s="258">
        <v>22</v>
      </c>
      <c r="Y15" s="258">
        <v>23</v>
      </c>
      <c r="Z15" s="258">
        <v>24</v>
      </c>
      <c r="AA15" s="258">
        <v>25</v>
      </c>
      <c r="AB15" s="258">
        <v>26</v>
      </c>
      <c r="AC15" s="258">
        <v>27</v>
      </c>
      <c r="AD15" s="258">
        <v>28</v>
      </c>
      <c r="AE15" s="258">
        <v>29</v>
      </c>
      <c r="AF15" s="258">
        <v>30</v>
      </c>
      <c r="AG15" s="258">
        <v>31</v>
      </c>
      <c r="AH15" s="258">
        <v>32</v>
      </c>
      <c r="AI15" s="258">
        <v>33</v>
      </c>
      <c r="AJ15" s="258">
        <v>34</v>
      </c>
      <c r="AK15" s="258"/>
      <c r="AL15" s="258">
        <v>35</v>
      </c>
      <c r="AM15" s="258">
        <v>36</v>
      </c>
      <c r="AN15" s="258">
        <v>37</v>
      </c>
      <c r="AO15" s="258">
        <v>38</v>
      </c>
      <c r="AP15" s="258">
        <v>39</v>
      </c>
      <c r="AQ15" s="258"/>
      <c r="AR15" s="258"/>
      <c r="AS15" s="258">
        <v>40</v>
      </c>
    </row>
    <row r="16" spans="1:49" s="261" customFormat="1" ht="24.75" customHeight="1" x14ac:dyDescent="0.25">
      <c r="A16" s="259"/>
      <c r="B16" s="140" t="s">
        <v>648</v>
      </c>
      <c r="C16" s="140"/>
      <c r="D16" s="259"/>
      <c r="E16" s="259"/>
      <c r="F16" s="259"/>
      <c r="G16" s="259"/>
      <c r="H16" s="259"/>
      <c r="I16" s="259"/>
      <c r="J16" s="259">
        <f>SUM(J24:J28)</f>
        <v>0</v>
      </c>
      <c r="K16" s="260">
        <f>K23+K26</f>
        <v>1920112</v>
      </c>
      <c r="L16" s="260">
        <f t="shared" ref="L16:AR16" si="0">L23+L26</f>
        <v>367524</v>
      </c>
      <c r="M16" s="260">
        <f t="shared" si="0"/>
        <v>0</v>
      </c>
      <c r="N16" s="260">
        <f t="shared" si="0"/>
        <v>0</v>
      </c>
      <c r="O16" s="260">
        <f t="shared" si="0"/>
        <v>1552588</v>
      </c>
      <c r="P16" s="260">
        <f t="shared" si="0"/>
        <v>1255574.6000000001</v>
      </c>
      <c r="Q16" s="260">
        <f t="shared" si="0"/>
        <v>270214.40000000002</v>
      </c>
      <c r="R16" s="260">
        <f t="shared" si="0"/>
        <v>258000</v>
      </c>
      <c r="S16" s="260">
        <f t="shared" si="0"/>
        <v>54000</v>
      </c>
      <c r="T16" s="260">
        <f t="shared" si="0"/>
        <v>204000</v>
      </c>
      <c r="U16" s="260">
        <f t="shared" si="0"/>
        <v>79467</v>
      </c>
      <c r="V16" s="260">
        <f t="shared" si="0"/>
        <v>22400</v>
      </c>
      <c r="W16" s="260">
        <f t="shared" si="0"/>
        <v>57067</v>
      </c>
      <c r="X16" s="260">
        <f t="shared" si="0"/>
        <v>107095</v>
      </c>
      <c r="Y16" s="260">
        <f t="shared" si="0"/>
        <v>42496</v>
      </c>
      <c r="Z16" s="260">
        <f t="shared" si="0"/>
        <v>64599</v>
      </c>
      <c r="AA16" s="260">
        <f t="shared" si="0"/>
        <v>1452204</v>
      </c>
      <c r="AB16" s="260">
        <f t="shared" si="0"/>
        <v>243871</v>
      </c>
      <c r="AC16" s="260">
        <f t="shared" si="0"/>
        <v>0</v>
      </c>
      <c r="AD16" s="260">
        <f t="shared" si="0"/>
        <v>0</v>
      </c>
      <c r="AE16" s="260">
        <f t="shared" si="0"/>
        <v>1137798</v>
      </c>
      <c r="AF16" s="260">
        <f t="shared" si="0"/>
        <v>716553.59899999993</v>
      </c>
      <c r="AG16" s="260">
        <f t="shared" si="0"/>
        <v>206361</v>
      </c>
      <c r="AH16" s="260">
        <f t="shared" si="0"/>
        <v>62532</v>
      </c>
      <c r="AI16" s="260">
        <f t="shared" si="0"/>
        <v>0</v>
      </c>
      <c r="AJ16" s="260">
        <f t="shared" si="0"/>
        <v>599523.59899999993</v>
      </c>
      <c r="AK16" s="260">
        <f t="shared" si="0"/>
        <v>85338</v>
      </c>
      <c r="AL16" s="260">
        <f t="shared" si="0"/>
        <v>51338</v>
      </c>
      <c r="AM16" s="260">
        <f t="shared" si="0"/>
        <v>36933</v>
      </c>
      <c r="AN16" s="260">
        <f t="shared" si="0"/>
        <v>0</v>
      </c>
      <c r="AO16" s="260">
        <f t="shared" si="0"/>
        <v>0</v>
      </c>
      <c r="AP16" s="260">
        <f t="shared" si="0"/>
        <v>148804.40100000001</v>
      </c>
      <c r="AQ16" s="260">
        <f t="shared" si="0"/>
        <v>14405</v>
      </c>
      <c r="AR16" s="260">
        <f t="shared" si="0"/>
        <v>34000</v>
      </c>
      <c r="AS16" s="260"/>
      <c r="AT16" s="261">
        <f t="shared" ref="AT16:AT28" si="1">AL16-AP16</f>
        <v>-97466.401000000013</v>
      </c>
    </row>
    <row r="17" spans="1:54" s="261" customFormat="1" ht="38.25" hidden="1" x14ac:dyDescent="0.25">
      <c r="A17" s="262" t="s">
        <v>358</v>
      </c>
      <c r="B17" s="263" t="s">
        <v>649</v>
      </c>
      <c r="C17" s="14"/>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4"/>
      <c r="AL17" s="264"/>
      <c r="AM17" s="264"/>
      <c r="AN17" s="264"/>
      <c r="AO17" s="264"/>
      <c r="AP17" s="264"/>
      <c r="AQ17" s="264"/>
      <c r="AR17" s="264"/>
      <c r="AS17" s="264"/>
      <c r="AT17" s="12">
        <f t="shared" si="1"/>
        <v>0</v>
      </c>
    </row>
    <row r="18" spans="1:54" s="269" customFormat="1" ht="12.75" hidden="1" x14ac:dyDescent="0.25">
      <c r="A18" s="265" t="s">
        <v>35</v>
      </c>
      <c r="B18" s="266" t="s">
        <v>650</v>
      </c>
      <c r="C18" s="266"/>
      <c r="D18" s="41"/>
      <c r="E18" s="267"/>
      <c r="F18" s="267"/>
      <c r="G18" s="267"/>
      <c r="H18" s="267"/>
      <c r="I18" s="267"/>
      <c r="J18" s="267"/>
      <c r="K18" s="267"/>
      <c r="L18" s="267"/>
      <c r="M18" s="267"/>
      <c r="N18" s="267"/>
      <c r="O18" s="267"/>
      <c r="P18" s="267"/>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12">
        <f t="shared" si="1"/>
        <v>0</v>
      </c>
    </row>
    <row r="19" spans="1:54" s="273" customFormat="1" ht="48.75" hidden="1" customHeight="1" x14ac:dyDescent="0.25">
      <c r="A19" s="265">
        <v>1</v>
      </c>
      <c r="B19" s="270" t="s">
        <v>651</v>
      </c>
      <c r="C19" s="270"/>
      <c r="D19" s="271"/>
      <c r="E19" s="271"/>
      <c r="F19" s="271"/>
      <c r="G19" s="271"/>
      <c r="H19" s="271"/>
      <c r="I19" s="271"/>
      <c r="J19" s="271"/>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12">
        <f t="shared" si="1"/>
        <v>0</v>
      </c>
    </row>
    <row r="20" spans="1:54" s="269" customFormat="1" ht="12.75" hidden="1" x14ac:dyDescent="0.25">
      <c r="A20" s="37" t="s">
        <v>652</v>
      </c>
      <c r="B20" s="38" t="s">
        <v>653</v>
      </c>
      <c r="C20" s="38"/>
      <c r="D20" s="41"/>
      <c r="E20" s="41"/>
      <c r="F20" s="41"/>
      <c r="G20" s="41"/>
      <c r="H20" s="41"/>
      <c r="I20" s="41"/>
      <c r="J20" s="41"/>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12">
        <f t="shared" si="1"/>
        <v>0</v>
      </c>
    </row>
    <row r="21" spans="1:54" s="269" customFormat="1" ht="12.75" hidden="1" x14ac:dyDescent="0.25">
      <c r="A21" s="37" t="s">
        <v>654</v>
      </c>
      <c r="B21" s="38" t="s">
        <v>653</v>
      </c>
      <c r="C21" s="38"/>
      <c r="D21" s="41"/>
      <c r="E21" s="41"/>
      <c r="F21" s="41"/>
      <c r="G21" s="41"/>
      <c r="H21" s="41"/>
      <c r="I21" s="41"/>
      <c r="J21" s="41"/>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12">
        <f t="shared" si="1"/>
        <v>0</v>
      </c>
    </row>
    <row r="22" spans="1:54" s="276" customFormat="1" ht="27" hidden="1" x14ac:dyDescent="0.25">
      <c r="A22" s="29" t="s">
        <v>45</v>
      </c>
      <c r="B22" s="30" t="s">
        <v>37</v>
      </c>
      <c r="C22" s="30"/>
      <c r="D22" s="274"/>
      <c r="E22" s="274"/>
      <c r="F22" s="274"/>
      <c r="G22" s="274"/>
      <c r="H22" s="274"/>
      <c r="I22" s="274"/>
      <c r="J22" s="274"/>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12">
        <f t="shared" si="1"/>
        <v>0</v>
      </c>
    </row>
    <row r="23" spans="1:54" s="276" customFormat="1" ht="24.75" customHeight="1" x14ac:dyDescent="0.25">
      <c r="A23" s="106" t="s">
        <v>358</v>
      </c>
      <c r="B23" s="149" t="s">
        <v>359</v>
      </c>
      <c r="C23" s="30"/>
      <c r="D23" s="274"/>
      <c r="E23" s="274"/>
      <c r="F23" s="274"/>
      <c r="G23" s="274"/>
      <c r="H23" s="274"/>
      <c r="I23" s="274"/>
      <c r="J23" s="274"/>
      <c r="K23" s="277">
        <f>SUM(K24:K25)</f>
        <v>713864</v>
      </c>
      <c r="L23" s="277">
        <f>SUM(L24:L25)</f>
        <v>146786</v>
      </c>
      <c r="M23" s="277">
        <f>SUM(M24:M25)</f>
        <v>0</v>
      </c>
      <c r="N23" s="277"/>
      <c r="O23" s="277">
        <f t="shared" ref="O23:AR23" si="2">SUM(O24:O25)</f>
        <v>567078</v>
      </c>
      <c r="P23" s="277">
        <f t="shared" si="2"/>
        <v>474195.6</v>
      </c>
      <c r="Q23" s="277">
        <f t="shared" si="2"/>
        <v>92882.4</v>
      </c>
      <c r="R23" s="277">
        <f t="shared" si="2"/>
        <v>90000</v>
      </c>
      <c r="S23" s="277">
        <f t="shared" si="2"/>
        <v>22000</v>
      </c>
      <c r="T23" s="277">
        <f t="shared" si="2"/>
        <v>68000</v>
      </c>
      <c r="U23" s="277">
        <f t="shared" si="2"/>
        <v>658</v>
      </c>
      <c r="V23" s="277">
        <f t="shared" si="2"/>
        <v>0</v>
      </c>
      <c r="W23" s="277">
        <f t="shared" si="2"/>
        <v>658</v>
      </c>
      <c r="X23" s="277">
        <f t="shared" si="2"/>
        <v>18686</v>
      </c>
      <c r="Y23" s="277">
        <f t="shared" si="2"/>
        <v>10496</v>
      </c>
      <c r="Z23" s="277">
        <f t="shared" si="2"/>
        <v>8190</v>
      </c>
      <c r="AA23" s="277">
        <f t="shared" si="2"/>
        <v>561688</v>
      </c>
      <c r="AB23" s="277">
        <f t="shared" si="2"/>
        <v>87492</v>
      </c>
      <c r="AC23" s="277">
        <f t="shared" si="2"/>
        <v>0</v>
      </c>
      <c r="AD23" s="277">
        <f t="shared" si="2"/>
        <v>0</v>
      </c>
      <c r="AE23" s="277">
        <f t="shared" si="2"/>
        <v>474196</v>
      </c>
      <c r="AF23" s="277">
        <f t="shared" si="2"/>
        <v>111889</v>
      </c>
      <c r="AG23" s="277">
        <f t="shared" si="2"/>
        <v>26538</v>
      </c>
      <c r="AH23" s="277">
        <f t="shared" si="2"/>
        <v>0</v>
      </c>
      <c r="AI23" s="277">
        <f t="shared" si="2"/>
        <v>0</v>
      </c>
      <c r="AJ23" s="277">
        <f t="shared" si="2"/>
        <v>85351</v>
      </c>
      <c r="AK23" s="277">
        <f t="shared" si="2"/>
        <v>28578</v>
      </c>
      <c r="AL23" s="277">
        <f t="shared" si="2"/>
        <v>17933</v>
      </c>
      <c r="AM23" s="277">
        <f t="shared" si="2"/>
        <v>17933</v>
      </c>
      <c r="AN23" s="277">
        <f t="shared" si="2"/>
        <v>0</v>
      </c>
      <c r="AO23" s="277">
        <f t="shared" si="2"/>
        <v>0</v>
      </c>
      <c r="AP23" s="277">
        <f t="shared" si="2"/>
        <v>62385</v>
      </c>
      <c r="AQ23" s="277">
        <f t="shared" si="2"/>
        <v>0</v>
      </c>
      <c r="AR23" s="277">
        <f t="shared" si="2"/>
        <v>10645</v>
      </c>
      <c r="AS23" s="275"/>
      <c r="AT23" s="12"/>
    </row>
    <row r="24" spans="1:54" ht="80.25" customHeight="1" x14ac:dyDescent="0.25">
      <c r="A24" s="37" t="s">
        <v>38</v>
      </c>
      <c r="B24" s="100" t="s">
        <v>655</v>
      </c>
      <c r="C24" s="41">
        <v>7652087</v>
      </c>
      <c r="D24" s="41" t="s">
        <v>487</v>
      </c>
      <c r="E24" s="41" t="s">
        <v>656</v>
      </c>
      <c r="F24" s="278" t="s">
        <v>657</v>
      </c>
      <c r="G24" s="278" t="s">
        <v>658</v>
      </c>
      <c r="H24" s="279" t="s">
        <v>62</v>
      </c>
      <c r="I24" s="19" t="s">
        <v>659</v>
      </c>
      <c r="J24" s="280" t="s">
        <v>660</v>
      </c>
      <c r="K24" s="281">
        <v>595274</v>
      </c>
      <c r="L24" s="281">
        <v>130862</v>
      </c>
      <c r="M24" s="281"/>
      <c r="N24" s="281"/>
      <c r="O24" s="281">
        <f>P24+Q24</f>
        <v>464412</v>
      </c>
      <c r="P24" s="281">
        <v>371529.6</v>
      </c>
      <c r="Q24" s="281">
        <v>92882.4</v>
      </c>
      <c r="R24" s="281">
        <f>S24+T24</f>
        <v>56000</v>
      </c>
      <c r="S24" s="281">
        <v>17000</v>
      </c>
      <c r="T24" s="281">
        <v>39000</v>
      </c>
      <c r="U24" s="281"/>
      <c r="V24" s="25"/>
      <c r="W24" s="281"/>
      <c r="X24" s="281">
        <f>Y24+Z24</f>
        <v>12102</v>
      </c>
      <c r="Y24" s="281">
        <v>9696</v>
      </c>
      <c r="Z24" s="281">
        <v>2406</v>
      </c>
      <c r="AA24" s="281">
        <f>AB24+AE24</f>
        <v>443098</v>
      </c>
      <c r="AB24" s="281">
        <v>71568</v>
      </c>
      <c r="AC24" s="25"/>
      <c r="AD24" s="25"/>
      <c r="AE24" s="281">
        <v>371530</v>
      </c>
      <c r="AF24" s="281">
        <f>AG24+AJ24</f>
        <v>61208</v>
      </c>
      <c r="AG24" s="281">
        <v>19115</v>
      </c>
      <c r="AH24" s="281"/>
      <c r="AI24" s="281"/>
      <c r="AJ24" s="281">
        <v>42093</v>
      </c>
      <c r="AK24" s="282">
        <f>AL24+AR24</f>
        <v>25455</v>
      </c>
      <c r="AL24" s="281">
        <f>AM24</f>
        <v>14810</v>
      </c>
      <c r="AM24" s="281">
        <v>14810</v>
      </c>
      <c r="AN24" s="281"/>
      <c r="AO24" s="281"/>
      <c r="AP24" s="281">
        <v>42580</v>
      </c>
      <c r="AQ24" s="281"/>
      <c r="AR24" s="281">
        <v>10645</v>
      </c>
      <c r="AS24" s="283"/>
      <c r="AT24" s="12">
        <f t="shared" si="1"/>
        <v>-27770</v>
      </c>
    </row>
    <row r="25" spans="1:54" ht="65.25" customHeight="1" x14ac:dyDescent="0.25">
      <c r="A25" s="37" t="s">
        <v>45</v>
      </c>
      <c r="B25" s="100" t="s">
        <v>661</v>
      </c>
      <c r="C25" s="41">
        <v>7923826</v>
      </c>
      <c r="D25" s="38" t="s">
        <v>487</v>
      </c>
      <c r="E25" s="38" t="s">
        <v>662</v>
      </c>
      <c r="F25" s="278" t="s">
        <v>663</v>
      </c>
      <c r="G25" s="278" t="s">
        <v>664</v>
      </c>
      <c r="H25" s="279" t="s">
        <v>62</v>
      </c>
      <c r="I25" s="279" t="s">
        <v>665</v>
      </c>
      <c r="J25" s="15" t="s">
        <v>666</v>
      </c>
      <c r="K25" s="281">
        <v>118590</v>
      </c>
      <c r="L25" s="281">
        <v>15924</v>
      </c>
      <c r="M25" s="281"/>
      <c r="N25" s="281"/>
      <c r="O25" s="281">
        <f>P25</f>
        <v>102666</v>
      </c>
      <c r="P25" s="281">
        <v>102666</v>
      </c>
      <c r="Q25" s="281"/>
      <c r="R25" s="281">
        <f>S25+T25</f>
        <v>34000</v>
      </c>
      <c r="S25" s="281">
        <v>5000</v>
      </c>
      <c r="T25" s="281">
        <v>29000</v>
      </c>
      <c r="U25" s="281">
        <f>W25</f>
        <v>658</v>
      </c>
      <c r="V25" s="25"/>
      <c r="W25" s="281">
        <v>658</v>
      </c>
      <c r="X25" s="281">
        <f>Y25+Z25</f>
        <v>6584</v>
      </c>
      <c r="Y25" s="281">
        <v>800</v>
      </c>
      <c r="Z25" s="281">
        <v>5784</v>
      </c>
      <c r="AA25" s="281">
        <f>AB25+AE25</f>
        <v>118590</v>
      </c>
      <c r="AB25" s="281">
        <v>15924</v>
      </c>
      <c r="AC25" s="25"/>
      <c r="AD25" s="25"/>
      <c r="AE25" s="281">
        <v>102666</v>
      </c>
      <c r="AF25" s="281">
        <f>AG25+AJ25</f>
        <v>50681</v>
      </c>
      <c r="AG25" s="281">
        <v>7423</v>
      </c>
      <c r="AH25" s="281"/>
      <c r="AI25" s="281"/>
      <c r="AJ25" s="281">
        <v>43258</v>
      </c>
      <c r="AK25" s="282">
        <f t="shared" ref="AK25:AK29" si="3">AM25+AQ25</f>
        <v>3123</v>
      </c>
      <c r="AL25" s="281">
        <f>AM25</f>
        <v>3123</v>
      </c>
      <c r="AM25" s="281">
        <v>3123</v>
      </c>
      <c r="AN25" s="281"/>
      <c r="AO25" s="281"/>
      <c r="AP25" s="281">
        <v>19805</v>
      </c>
      <c r="AQ25" s="281"/>
      <c r="AR25" s="281"/>
      <c r="AS25" s="284"/>
      <c r="AT25" s="12">
        <f t="shared" si="1"/>
        <v>-16682</v>
      </c>
    </row>
    <row r="26" spans="1:54" s="276" customFormat="1" ht="31.5" customHeight="1" x14ac:dyDescent="0.25">
      <c r="A26" s="106" t="s">
        <v>487</v>
      </c>
      <c r="B26" s="149" t="s">
        <v>488</v>
      </c>
      <c r="C26" s="30"/>
      <c r="D26" s="274"/>
      <c r="E26" s="274"/>
      <c r="F26" s="274"/>
      <c r="G26" s="274"/>
      <c r="H26" s="274"/>
      <c r="I26" s="274"/>
      <c r="J26" s="274"/>
      <c r="K26" s="277">
        <f>SUM(K27:K29)</f>
        <v>1206248</v>
      </c>
      <c r="L26" s="277">
        <f t="shared" ref="L26:AQ26" si="4">SUM(L27:L29)</f>
        <v>220738</v>
      </c>
      <c r="M26" s="277">
        <f t="shared" si="4"/>
        <v>0</v>
      </c>
      <c r="N26" s="277">
        <f t="shared" si="4"/>
        <v>0</v>
      </c>
      <c r="O26" s="277">
        <f t="shared" si="4"/>
        <v>985510</v>
      </c>
      <c r="P26" s="277">
        <f t="shared" si="4"/>
        <v>781379</v>
      </c>
      <c r="Q26" s="277">
        <f t="shared" si="4"/>
        <v>177332</v>
      </c>
      <c r="R26" s="277">
        <f t="shared" si="4"/>
        <v>168000</v>
      </c>
      <c r="S26" s="277">
        <f t="shared" si="4"/>
        <v>32000</v>
      </c>
      <c r="T26" s="277">
        <f t="shared" si="4"/>
        <v>136000</v>
      </c>
      <c r="U26" s="277">
        <f t="shared" si="4"/>
        <v>78809</v>
      </c>
      <c r="V26" s="277">
        <f t="shared" si="4"/>
        <v>22400</v>
      </c>
      <c r="W26" s="277">
        <f t="shared" si="4"/>
        <v>56409</v>
      </c>
      <c r="X26" s="277">
        <f t="shared" si="4"/>
        <v>88409</v>
      </c>
      <c r="Y26" s="277">
        <f t="shared" si="4"/>
        <v>32000</v>
      </c>
      <c r="Z26" s="277">
        <f t="shared" si="4"/>
        <v>56409</v>
      </c>
      <c r="AA26" s="277">
        <f t="shared" si="4"/>
        <v>890516</v>
      </c>
      <c r="AB26" s="277">
        <f t="shared" si="4"/>
        <v>156379</v>
      </c>
      <c r="AC26" s="277">
        <f t="shared" si="4"/>
        <v>0</v>
      </c>
      <c r="AD26" s="277">
        <f t="shared" si="4"/>
        <v>0</v>
      </c>
      <c r="AE26" s="277">
        <f t="shared" si="4"/>
        <v>663602</v>
      </c>
      <c r="AF26" s="277">
        <f t="shared" si="4"/>
        <v>604664.59899999993</v>
      </c>
      <c r="AG26" s="277">
        <f t="shared" si="4"/>
        <v>179823</v>
      </c>
      <c r="AH26" s="277">
        <f t="shared" si="4"/>
        <v>62532</v>
      </c>
      <c r="AI26" s="277">
        <f t="shared" si="4"/>
        <v>0</v>
      </c>
      <c r="AJ26" s="277">
        <f t="shared" si="4"/>
        <v>514172.59899999999</v>
      </c>
      <c r="AK26" s="277">
        <f>AL26+AR26</f>
        <v>56760</v>
      </c>
      <c r="AL26" s="277">
        <f t="shared" si="4"/>
        <v>33405</v>
      </c>
      <c r="AM26" s="277">
        <f t="shared" si="4"/>
        <v>19000</v>
      </c>
      <c r="AN26" s="277">
        <f t="shared" si="4"/>
        <v>0</v>
      </c>
      <c r="AO26" s="277">
        <f t="shared" si="4"/>
        <v>0</v>
      </c>
      <c r="AP26" s="277">
        <f t="shared" si="4"/>
        <v>86419.401000000013</v>
      </c>
      <c r="AQ26" s="277">
        <f t="shared" si="4"/>
        <v>14405</v>
      </c>
      <c r="AR26" s="277">
        <f>34000-10645</f>
        <v>23355</v>
      </c>
      <c r="AS26" s="275"/>
      <c r="AT26" s="12"/>
    </row>
    <row r="27" spans="1:54" s="269" customFormat="1" ht="34.5" customHeight="1" x14ac:dyDescent="0.25">
      <c r="A27" s="37" t="s">
        <v>38</v>
      </c>
      <c r="B27" s="100" t="s">
        <v>667</v>
      </c>
      <c r="C27" s="41">
        <v>7585134</v>
      </c>
      <c r="D27" s="41" t="s">
        <v>487</v>
      </c>
      <c r="E27" s="41" t="s">
        <v>656</v>
      </c>
      <c r="F27" s="278" t="s">
        <v>668</v>
      </c>
      <c r="G27" s="278" t="s">
        <v>669</v>
      </c>
      <c r="H27" s="41" t="s">
        <v>670</v>
      </c>
      <c r="I27" s="28" t="s">
        <v>671</v>
      </c>
      <c r="J27" s="39" t="s">
        <v>672</v>
      </c>
      <c r="K27" s="281">
        <v>646721</v>
      </c>
      <c r="L27" s="281">
        <f>K27-O27</f>
        <v>148465</v>
      </c>
      <c r="M27" s="281">
        <v>0</v>
      </c>
      <c r="N27" s="19" t="s">
        <v>673</v>
      </c>
      <c r="O27" s="281">
        <f>P27+Q27</f>
        <v>498256</v>
      </c>
      <c r="P27" s="281">
        <v>348779</v>
      </c>
      <c r="Q27" s="281">
        <v>149477</v>
      </c>
      <c r="R27" s="281">
        <f>S27+T27</f>
        <v>79000</v>
      </c>
      <c r="S27" s="281">
        <v>32000</v>
      </c>
      <c r="T27" s="281">
        <v>47000</v>
      </c>
      <c r="U27" s="281">
        <f>V27+W27</f>
        <v>24400</v>
      </c>
      <c r="V27" s="25">
        <v>22400</v>
      </c>
      <c r="W27" s="281">
        <v>2000</v>
      </c>
      <c r="X27" s="281">
        <f>Y27+Z27</f>
        <v>34000</v>
      </c>
      <c r="Y27" s="281">
        <v>32000</v>
      </c>
      <c r="Z27" s="281">
        <v>2000</v>
      </c>
      <c r="AA27" s="281">
        <f>AB27+AE27</f>
        <v>400093</v>
      </c>
      <c r="AB27" s="281">
        <v>103347</v>
      </c>
      <c r="AC27" s="25"/>
      <c r="AD27" s="25"/>
      <c r="AE27" s="281">
        <v>296746</v>
      </c>
      <c r="AF27" s="281">
        <f>AG27+AJ27</f>
        <v>296428.59899999999</v>
      </c>
      <c r="AG27" s="281">
        <f>10800+43302+32000</f>
        <v>86102</v>
      </c>
      <c r="AH27" s="281"/>
      <c r="AI27" s="281"/>
      <c r="AJ27" s="281">
        <f>139003.266+45623.333+23700+2000</f>
        <v>210326.59899999999</v>
      </c>
      <c r="AK27" s="282">
        <f>AM27+AQ27</f>
        <v>19000</v>
      </c>
      <c r="AL27" s="285">
        <f>AM27+AQ27</f>
        <v>19000</v>
      </c>
      <c r="AM27" s="285">
        <v>19000</v>
      </c>
      <c r="AN27" s="285"/>
      <c r="AO27" s="285"/>
      <c r="AP27" s="285">
        <f>AE27-AJ27</f>
        <v>86419.401000000013</v>
      </c>
      <c r="AQ27" s="285"/>
      <c r="AR27" s="285"/>
      <c r="AS27" s="38"/>
      <c r="AT27" s="12">
        <f t="shared" ref="AT27" si="5">AL27-AP27</f>
        <v>-67419.401000000013</v>
      </c>
    </row>
    <row r="28" spans="1:54" ht="65.25" customHeight="1" x14ac:dyDescent="0.25">
      <c r="A28" s="37" t="s">
        <v>45</v>
      </c>
      <c r="B28" s="100" t="s">
        <v>674</v>
      </c>
      <c r="C28" s="41">
        <v>7574140</v>
      </c>
      <c r="D28" s="38" t="s">
        <v>487</v>
      </c>
      <c r="E28" s="38" t="s">
        <v>675</v>
      </c>
      <c r="F28" s="25"/>
      <c r="G28" s="278" t="s">
        <v>676</v>
      </c>
      <c r="H28" s="279" t="s">
        <v>62</v>
      </c>
      <c r="I28" s="279" t="s">
        <v>665</v>
      </c>
      <c r="J28" s="15" t="s">
        <v>677</v>
      </c>
      <c r="K28" s="281">
        <f>L28+O28</f>
        <v>451400</v>
      </c>
      <c r="L28" s="281">
        <v>53477</v>
      </c>
      <c r="M28" s="281"/>
      <c r="N28" s="281"/>
      <c r="O28" s="281">
        <f>P28+Q28</f>
        <v>397923</v>
      </c>
      <c r="P28" s="281">
        <v>370068</v>
      </c>
      <c r="Q28" s="281">
        <v>27855</v>
      </c>
      <c r="R28" s="281">
        <f>S28+T28</f>
        <v>89000</v>
      </c>
      <c r="S28" s="25"/>
      <c r="T28" s="281">
        <v>89000</v>
      </c>
      <c r="U28" s="281">
        <f>W28</f>
        <v>54409</v>
      </c>
      <c r="V28" s="281"/>
      <c r="W28" s="281">
        <f>T28-34591</f>
        <v>54409</v>
      </c>
      <c r="X28" s="281">
        <f>Z28</f>
        <v>54409</v>
      </c>
      <c r="Y28" s="281"/>
      <c r="Z28" s="281">
        <f>W28</f>
        <v>54409</v>
      </c>
      <c r="AA28" s="281">
        <f>AB28+AE28</f>
        <v>382296</v>
      </c>
      <c r="AB28" s="281">
        <v>34236</v>
      </c>
      <c r="AC28" s="281"/>
      <c r="AD28" s="281"/>
      <c r="AE28" s="281">
        <v>348060</v>
      </c>
      <c r="AF28" s="281">
        <f>AG28+AJ28</f>
        <v>308236</v>
      </c>
      <c r="AG28" s="281">
        <v>4390</v>
      </c>
      <c r="AH28" s="281"/>
      <c r="AI28" s="281"/>
      <c r="AJ28" s="281">
        <v>303846</v>
      </c>
      <c r="AK28" s="282">
        <f t="shared" si="3"/>
        <v>11775</v>
      </c>
      <c r="AL28" s="285">
        <f>AM28+AQ28</f>
        <v>11775</v>
      </c>
      <c r="AM28" s="285"/>
      <c r="AN28" s="285"/>
      <c r="AO28" s="285"/>
      <c r="AP28" s="285"/>
      <c r="AQ28" s="285">
        <v>11775</v>
      </c>
      <c r="AR28" s="285"/>
      <c r="AS28" s="281"/>
      <c r="AT28" s="12">
        <f t="shared" si="1"/>
        <v>11775</v>
      </c>
    </row>
    <row r="29" spans="1:54" ht="102" customHeight="1" x14ac:dyDescent="0.25">
      <c r="A29" s="286" t="s">
        <v>48</v>
      </c>
      <c r="B29" s="287" t="s">
        <v>678</v>
      </c>
      <c r="C29" s="288">
        <v>7652087</v>
      </c>
      <c r="D29" s="289" t="s">
        <v>62</v>
      </c>
      <c r="E29" s="290" t="s">
        <v>679</v>
      </c>
      <c r="F29" s="291" t="s">
        <v>680</v>
      </c>
      <c r="G29" s="292">
        <v>107548</v>
      </c>
      <c r="H29" s="289" t="s">
        <v>62</v>
      </c>
      <c r="I29" s="290" t="s">
        <v>679</v>
      </c>
      <c r="J29" s="291" t="s">
        <v>681</v>
      </c>
      <c r="K29" s="292">
        <v>108127</v>
      </c>
      <c r="L29" s="292">
        <v>18796</v>
      </c>
      <c r="M29" s="293"/>
      <c r="N29" s="294"/>
      <c r="O29" s="294">
        <v>89331</v>
      </c>
      <c r="P29" s="294">
        <v>62532</v>
      </c>
      <c r="Q29" s="294"/>
      <c r="R29" s="293"/>
      <c r="S29" s="293"/>
      <c r="T29" s="293"/>
      <c r="U29" s="293"/>
      <c r="V29" s="293"/>
      <c r="W29" s="293"/>
      <c r="X29" s="293"/>
      <c r="Y29" s="293"/>
      <c r="Z29" s="291" t="s">
        <v>681</v>
      </c>
      <c r="AA29" s="292">
        <f>AB29+AG29</f>
        <v>108127</v>
      </c>
      <c r="AB29" s="292">
        <f>AE29</f>
        <v>18796</v>
      </c>
      <c r="AC29" s="292"/>
      <c r="AD29" s="294"/>
      <c r="AE29" s="292">
        <v>18796</v>
      </c>
      <c r="AF29" s="294"/>
      <c r="AG29" s="292">
        <v>89331</v>
      </c>
      <c r="AH29" s="292">
        <v>62532</v>
      </c>
      <c r="AI29" s="292"/>
      <c r="AJ29" s="294"/>
      <c r="AK29" s="295">
        <f t="shared" si="3"/>
        <v>2630</v>
      </c>
      <c r="AL29" s="296">
        <f>AM29+AQ29</f>
        <v>2630</v>
      </c>
      <c r="AM29" s="297"/>
      <c r="AN29" s="297"/>
      <c r="AO29" s="297"/>
      <c r="AP29" s="297">
        <v>0</v>
      </c>
      <c r="AQ29" s="297">
        <v>2630</v>
      </c>
      <c r="AR29" s="297"/>
      <c r="AS29" s="294">
        <v>0</v>
      </c>
      <c r="AT29" s="298"/>
      <c r="AU29" s="298"/>
      <c r="AV29" s="298"/>
      <c r="AW29" s="298"/>
      <c r="AX29" s="298">
        <v>1218</v>
      </c>
      <c r="AY29" s="298"/>
      <c r="AZ29" s="298"/>
      <c r="BA29" s="50"/>
      <c r="BB29" s="50"/>
    </row>
    <row r="30" spans="1:54"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54"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54"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sheetData>
  <mergeCells count="73">
    <mergeCell ref="A5:AS5"/>
    <mergeCell ref="A1:B1"/>
    <mergeCell ref="AM1:AS1"/>
    <mergeCell ref="A2:AS2"/>
    <mergeCell ref="A3:AJ3"/>
    <mergeCell ref="A4:AW4"/>
    <mergeCell ref="A6:AR6"/>
    <mergeCell ref="A7:A14"/>
    <mergeCell ref="B7:B14"/>
    <mergeCell ref="C7:C14"/>
    <mergeCell ref="D7:D14"/>
    <mergeCell ref="E7:E14"/>
    <mergeCell ref="F7:F14"/>
    <mergeCell ref="G7:G14"/>
    <mergeCell ref="H7:H14"/>
    <mergeCell ref="I7:I14"/>
    <mergeCell ref="J7:Q7"/>
    <mergeCell ref="R7:Z8"/>
    <mergeCell ref="AA7:AJ8"/>
    <mergeCell ref="AK7:AR9"/>
    <mergeCell ref="AS7:AS14"/>
    <mergeCell ref="J8:J14"/>
    <mergeCell ref="K8:Q8"/>
    <mergeCell ref="K9:K14"/>
    <mergeCell ref="L9:Q9"/>
    <mergeCell ref="R9:T9"/>
    <mergeCell ref="U9:W9"/>
    <mergeCell ref="X9:Z9"/>
    <mergeCell ref="AA9:AE9"/>
    <mergeCell ref="AF9:AJ9"/>
    <mergeCell ref="L10:M11"/>
    <mergeCell ref="N10:Q11"/>
    <mergeCell ref="R10:R14"/>
    <mergeCell ref="S10:T10"/>
    <mergeCell ref="U10:U14"/>
    <mergeCell ref="V10:W10"/>
    <mergeCell ref="AR10:AR14"/>
    <mergeCell ref="S11:S14"/>
    <mergeCell ref="T11:T14"/>
    <mergeCell ref="V11:V14"/>
    <mergeCell ref="W11:W14"/>
    <mergeCell ref="Y11:Y14"/>
    <mergeCell ref="Z11:Z14"/>
    <mergeCell ref="AB11:AD11"/>
    <mergeCell ref="X10:X14"/>
    <mergeCell ref="Y10:Z10"/>
    <mergeCell ref="AA10:AA14"/>
    <mergeCell ref="AB10:AE10"/>
    <mergeCell ref="AF10:AF14"/>
    <mergeCell ref="AG10:AJ10"/>
    <mergeCell ref="AE11:AE14"/>
    <mergeCell ref="AG11:AI11"/>
    <mergeCell ref="L12:L14"/>
    <mergeCell ref="M12:M14"/>
    <mergeCell ref="N12:N14"/>
    <mergeCell ref="O12:Q12"/>
    <mergeCell ref="AB12:AB14"/>
    <mergeCell ref="AQ12:AQ14"/>
    <mergeCell ref="O13:O14"/>
    <mergeCell ref="P13:Q13"/>
    <mergeCell ref="AC13:AC14"/>
    <mergeCell ref="AD13:AD14"/>
    <mergeCell ref="AH13:AH14"/>
    <mergeCell ref="AI13:AI14"/>
    <mergeCell ref="AL11:AL14"/>
    <mergeCell ref="AM11:AM14"/>
    <mergeCell ref="AP11:AP14"/>
    <mergeCell ref="AC12:AD12"/>
    <mergeCell ref="AG12:AG14"/>
    <mergeCell ref="AK10:AK14"/>
    <mergeCell ref="AL10:AQ10"/>
    <mergeCell ref="AJ11:AJ14"/>
    <mergeCell ref="AH12:AI12"/>
  </mergeCells>
  <pageMargins left="0.25" right="0.25" top="0.25" bottom="0.33" header="0.3" footer="0.2"/>
  <pageSetup paperSize="9" scale="7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A080-FC17-436D-86D1-4E10FF435FF4}">
  <sheetPr>
    <tabColor rgb="FF92D050"/>
    <pageSetUpPr fitToPage="1"/>
  </sheetPr>
  <dimension ref="A1:BB97"/>
  <sheetViews>
    <sheetView workbookViewId="0">
      <pane xSplit="2" ySplit="9" topLeftCell="C15" activePane="bottomRight" state="frozen"/>
      <selection activeCell="I16" sqref="I16"/>
      <selection pane="topRight" activeCell="I16" sqref="I16"/>
      <selection pane="bottomLeft" activeCell="I16" sqref="I16"/>
      <selection pane="bottomRight" activeCell="A2" sqref="A2:Y2"/>
    </sheetView>
  </sheetViews>
  <sheetFormatPr defaultColWidth="9.140625" defaultRowHeight="15.75" x14ac:dyDescent="0.25"/>
  <cols>
    <col min="1" max="1" width="5.7109375" style="248" customWidth="1"/>
    <col min="2" max="2" width="53.42578125" style="249" customWidth="1"/>
    <col min="3" max="3" width="9.85546875" style="248" customWidth="1"/>
    <col min="4" max="4" width="12.28515625" style="249" customWidth="1"/>
    <col min="5" max="6" width="9.85546875" style="249" hidden="1" customWidth="1"/>
    <col min="7" max="7" width="11.140625" style="249" customWidth="1"/>
    <col min="8" max="8" width="11" style="249" customWidth="1"/>
    <col min="9" max="9" width="10.7109375" style="249" hidden="1" customWidth="1"/>
    <col min="10" max="10" width="9.42578125" style="249" customWidth="1"/>
    <col min="11" max="11" width="10.5703125" style="249" customWidth="1"/>
    <col min="12" max="12" width="10.28515625" style="249" hidden="1" customWidth="1"/>
    <col min="13" max="13" width="9.42578125" style="249" hidden="1" customWidth="1"/>
    <col min="14" max="14" width="9" style="249" hidden="1" customWidth="1"/>
    <col min="15" max="15" width="9.7109375" style="249" hidden="1" customWidth="1"/>
    <col min="16" max="16" width="9.42578125" style="249" hidden="1" customWidth="1"/>
    <col min="17" max="17" width="9.28515625" style="249" hidden="1" customWidth="1"/>
    <col min="18" max="18" width="9" style="249" hidden="1" customWidth="1"/>
    <col min="19" max="19" width="8.85546875" style="249" hidden="1" customWidth="1"/>
    <col min="20" max="20" width="9.42578125" style="249" customWidth="1"/>
    <col min="21" max="21" width="9.7109375" style="249" customWidth="1"/>
    <col min="22" max="22" width="10.28515625" style="249" hidden="1" customWidth="1"/>
    <col min="23" max="23" width="9.42578125" style="249" hidden="1" customWidth="1"/>
    <col min="24" max="24" width="9" style="249" hidden="1" customWidth="1"/>
    <col min="25" max="25" width="9.5703125" style="193" customWidth="1"/>
    <col min="26" max="26" width="8.140625" style="187" hidden="1" customWidth="1"/>
    <col min="27" max="27" width="0" style="187" hidden="1" customWidth="1"/>
    <col min="28" max="28" width="14.85546875" style="187" hidden="1" customWidth="1"/>
    <col min="29" max="51" width="0" style="187" hidden="1" customWidth="1"/>
    <col min="52" max="52" width="10" style="187" hidden="1" customWidth="1"/>
    <col min="53" max="53" width="8.7109375" style="187" hidden="1" customWidth="1"/>
    <col min="54" max="102" width="0" style="187" hidden="1" customWidth="1"/>
    <col min="103" max="16384" width="9.140625" style="187"/>
  </cols>
  <sheetData>
    <row r="1" spans="1:54" ht="15.75" customHeight="1" x14ac:dyDescent="0.25">
      <c r="A1" s="347" t="s">
        <v>0</v>
      </c>
      <c r="B1" s="347"/>
      <c r="C1" s="184"/>
      <c r="D1" s="184"/>
      <c r="E1" s="185"/>
      <c r="F1" s="185"/>
      <c r="G1" s="184"/>
      <c r="H1" s="184"/>
      <c r="I1" s="185"/>
      <c r="J1" s="184"/>
      <c r="K1" s="184"/>
      <c r="L1" s="185"/>
      <c r="M1" s="185"/>
      <c r="N1" s="185"/>
      <c r="O1" s="185"/>
      <c r="P1" s="185"/>
      <c r="Q1" s="185"/>
      <c r="R1" s="185"/>
      <c r="S1" s="185"/>
      <c r="T1" s="376" t="s">
        <v>751</v>
      </c>
      <c r="U1" s="376"/>
      <c r="V1" s="376"/>
      <c r="W1" s="376"/>
      <c r="X1" s="376"/>
      <c r="Y1" s="37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row>
    <row r="2" spans="1:54" ht="15.75" customHeight="1" x14ac:dyDescent="0.25">
      <c r="A2" s="376" t="s">
        <v>1</v>
      </c>
      <c r="B2" s="376"/>
      <c r="C2" s="376"/>
      <c r="D2" s="376"/>
      <c r="E2" s="376"/>
      <c r="F2" s="376"/>
      <c r="G2" s="376"/>
      <c r="H2" s="376"/>
      <c r="I2" s="376"/>
      <c r="J2" s="376"/>
      <c r="K2" s="376"/>
      <c r="L2" s="376"/>
      <c r="M2" s="376"/>
      <c r="N2" s="376"/>
      <c r="O2" s="376"/>
      <c r="P2" s="376"/>
      <c r="Q2" s="376"/>
      <c r="R2" s="376"/>
      <c r="S2" s="376"/>
      <c r="T2" s="376"/>
      <c r="U2" s="376"/>
      <c r="V2" s="376"/>
      <c r="W2" s="376"/>
      <c r="X2" s="376"/>
      <c r="Y2" s="37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spans="1:54" ht="23.25" customHeight="1" x14ac:dyDescent="0.25">
      <c r="A3" s="376" t="s">
        <v>517</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row>
    <row r="4" spans="1:54" s="192" customFormat="1" x14ac:dyDescent="0.25">
      <c r="A4" s="377" t="s">
        <v>747</v>
      </c>
      <c r="B4" s="378"/>
      <c r="C4" s="378"/>
      <c r="D4" s="378"/>
      <c r="E4" s="378"/>
      <c r="F4" s="378"/>
      <c r="G4" s="378"/>
      <c r="H4" s="378"/>
      <c r="I4" s="378"/>
      <c r="J4" s="378"/>
      <c r="K4" s="378"/>
      <c r="L4" s="378"/>
      <c r="M4" s="378"/>
      <c r="N4" s="378"/>
      <c r="O4" s="378"/>
      <c r="P4" s="378"/>
      <c r="Q4" s="378"/>
      <c r="R4" s="378"/>
      <c r="S4" s="378"/>
      <c r="T4" s="378"/>
      <c r="U4" s="378"/>
      <c r="V4" s="378"/>
      <c r="W4" s="378"/>
      <c r="X4" s="378"/>
      <c r="Y4" s="378"/>
      <c r="Z4" s="188"/>
      <c r="AA4" s="189" t="s">
        <v>518</v>
      </c>
      <c r="AB4" s="190">
        <f>SUM(AC4:AS4)</f>
        <v>53</v>
      </c>
      <c r="AC4" s="191">
        <f>COUNTIF($Z$11:$Z$79,"GT")</f>
        <v>19</v>
      </c>
      <c r="AD4" s="191">
        <f>COUNTIF($Z$11:$Z$79,"TL")</f>
        <v>10</v>
      </c>
      <c r="AE4" s="191">
        <f>COUNTIF($Z$11:$Z$79,"NNNT")</f>
        <v>0</v>
      </c>
      <c r="AF4" s="191">
        <f>COUNTIF($Z$11:$Z$79,"VHTT")</f>
        <v>5</v>
      </c>
      <c r="AG4" s="191">
        <f>COUNTIF($Z$11:$Z$79,"GDDT")</f>
        <v>3</v>
      </c>
      <c r="AH4" s="191">
        <f>COUNTIF($Z$11:$Z$79,"CNTT")</f>
        <v>0</v>
      </c>
      <c r="AI4" s="191">
        <f>COUNTIF($Z$11:$Z$79,"QLNN")</f>
        <v>3</v>
      </c>
      <c r="AJ4" s="191">
        <f>COUNTIF($Z$11:$Z$79,"ANQP")</f>
        <v>0</v>
      </c>
      <c r="AK4" s="191">
        <f>COUNTIF($Z$11:$Z$79,"YT")</f>
        <v>0</v>
      </c>
      <c r="AL4" s="191">
        <f>COUNTIF($Z$11:$Z$79,"XH")</f>
        <v>0</v>
      </c>
      <c r="AM4" s="191">
        <f>COUNTIF($Z$11:$Z$79,"ĐCN")</f>
        <v>2</v>
      </c>
      <c r="AN4" s="191">
        <f>COUNTIF($Z$11:$Z$79,"KCN")</f>
        <v>0</v>
      </c>
      <c r="AO4" s="191">
        <f>COUNTIF($Z$11:$Z$79,"CTN")</f>
        <v>0</v>
      </c>
      <c r="AP4" s="191">
        <f>COUNTIF($Z$11:$Z$79,"QH")</f>
        <v>0</v>
      </c>
      <c r="AQ4" s="191">
        <f>COUNTIF($Z$11:$Z$79,"DL")</f>
        <v>2</v>
      </c>
      <c r="AR4" s="191">
        <f>COUNTIF($Z$11:$Z$79,"HTDT")</f>
        <v>9</v>
      </c>
      <c r="AS4" s="191">
        <f>COUNTIF($Z$11:$Z$79,"MT")</f>
        <v>0</v>
      </c>
      <c r="AT4" s="188"/>
      <c r="AU4" s="188"/>
      <c r="AV4" s="188"/>
      <c r="AW4" s="188"/>
      <c r="AX4" s="188"/>
      <c r="AY4" s="188"/>
      <c r="AZ4" s="188"/>
      <c r="BA4" s="188"/>
      <c r="BB4" s="188"/>
    </row>
    <row r="5" spans="1:54" ht="23.25" customHeight="1" x14ac:dyDescent="0.25">
      <c r="A5" s="193"/>
      <c r="B5" s="193"/>
      <c r="C5" s="193"/>
      <c r="D5" s="193"/>
      <c r="E5" s="193"/>
      <c r="F5" s="193"/>
      <c r="G5" s="193"/>
      <c r="H5" s="193"/>
      <c r="I5" s="379" t="s">
        <v>354</v>
      </c>
      <c r="J5" s="379"/>
      <c r="K5" s="379"/>
      <c r="L5" s="379"/>
      <c r="M5" s="379"/>
      <c r="N5" s="379"/>
      <c r="O5" s="379"/>
      <c r="P5" s="379"/>
      <c r="Q5" s="379"/>
      <c r="R5" s="379"/>
      <c r="S5" s="379"/>
      <c r="T5" s="379"/>
      <c r="U5" s="379"/>
      <c r="V5" s="379"/>
      <c r="W5" s="379"/>
      <c r="X5" s="379"/>
      <c r="Y5" s="379"/>
      <c r="AA5" s="194" t="s">
        <v>519</v>
      </c>
      <c r="AB5" s="195">
        <f>SUM(AC5:AS5)</f>
        <v>376050</v>
      </c>
      <c r="AC5" s="196">
        <f>SUMIF($Z$11:$Z$79,"GT",$K$11:$K$79)</f>
        <v>135200</v>
      </c>
      <c r="AD5" s="196">
        <f>SUMIF($Z$11:$Z$79,"TL",$K$11:$K$79)</f>
        <v>69430</v>
      </c>
      <c r="AE5" s="196">
        <f>SUMIF($Z$11:$Z$79,"NNNT",$K$11:$K$79)</f>
        <v>0</v>
      </c>
      <c r="AF5" s="196">
        <f>SUMIF($Z$11:$Z$79,"VHTT",$K$11:$K$79)</f>
        <v>52020</v>
      </c>
      <c r="AG5" s="196">
        <f>SUMIF($Z$11:$Z$79,"GDDT",$K$11:$K$79)</f>
        <v>17600</v>
      </c>
      <c r="AH5" s="196">
        <f>SUMIF($Z$11:$Z$79,"CNTT",$K$11:$K$79)</f>
        <v>0</v>
      </c>
      <c r="AI5" s="196">
        <f>SUMIF($Z$11:$Z$79,"QLNN",$K$11:$K$79)</f>
        <v>15900</v>
      </c>
      <c r="AJ5" s="196">
        <f>SUMIF($Z$11:$Z$79,"ANQP",$K$11:$K$79)</f>
        <v>0</v>
      </c>
      <c r="AK5" s="196">
        <f>SUMIF($Z$11:$Z$79,"YT",$K$11:$K$79)</f>
        <v>0</v>
      </c>
      <c r="AL5" s="196">
        <f>SUMIF($Z$11:$Z$79,"XH",$K$11:$K$79)</f>
        <v>0</v>
      </c>
      <c r="AM5" s="196">
        <f>SUMIF($Z$11:$Z$79,"ĐCN",$K$11:$K$79)</f>
        <v>7000</v>
      </c>
      <c r="AN5" s="196">
        <f>SUMIF($Z$11:$Z$79,"KCN",$K$11:$K$79)</f>
        <v>0</v>
      </c>
      <c r="AO5" s="196">
        <f>SUMIF($Z$11:$Z$79,"CTN",$K$11:$K$79)</f>
        <v>0</v>
      </c>
      <c r="AP5" s="196">
        <f>SUMIF($Z$11:$Z$79,"QH",$K$11:$K$79)</f>
        <v>0</v>
      </c>
      <c r="AQ5" s="196">
        <f>SUMIF($Z$11:$Z$79,"DL",$K$11:$K$79)</f>
        <v>17500</v>
      </c>
      <c r="AR5" s="196">
        <f>SUMIF($Z$11:$Z$79,"HTDT",$K$11:$K$79)</f>
        <v>61400</v>
      </c>
      <c r="AS5" s="196">
        <f>SUMIF($Z$11:$Z$79,"MT",$K$11:$K$79)</f>
        <v>0</v>
      </c>
    </row>
    <row r="6" spans="1:54" s="198" customFormat="1" ht="33.75" customHeight="1" x14ac:dyDescent="0.25">
      <c r="A6" s="374" t="s">
        <v>520</v>
      </c>
      <c r="B6" s="374" t="s">
        <v>521</v>
      </c>
      <c r="C6" s="374" t="s">
        <v>522</v>
      </c>
      <c r="D6" s="374" t="s">
        <v>10</v>
      </c>
      <c r="E6" s="374" t="s">
        <v>523</v>
      </c>
      <c r="F6" s="197"/>
      <c r="G6" s="374" t="s">
        <v>524</v>
      </c>
      <c r="H6" s="374"/>
      <c r="I6" s="374"/>
      <c r="J6" s="374" t="s">
        <v>525</v>
      </c>
      <c r="K6" s="374"/>
      <c r="L6" s="374"/>
      <c r="M6" s="374"/>
      <c r="N6" s="374"/>
      <c r="O6" s="374" t="s">
        <v>526</v>
      </c>
      <c r="P6" s="374"/>
      <c r="Q6" s="374"/>
      <c r="R6" s="374"/>
      <c r="S6" s="374"/>
      <c r="T6" s="374" t="s">
        <v>16</v>
      </c>
      <c r="U6" s="374"/>
      <c r="V6" s="374"/>
      <c r="W6" s="374"/>
      <c r="X6" s="374"/>
      <c r="Y6" s="374" t="s">
        <v>17</v>
      </c>
      <c r="AB6" s="199" t="e">
        <f>AB5-#REF!</f>
        <v>#REF!</v>
      </c>
    </row>
    <row r="7" spans="1:54" s="198" customFormat="1" ht="24.75" customHeight="1" x14ac:dyDescent="0.25">
      <c r="A7" s="374"/>
      <c r="B7" s="374"/>
      <c r="C7" s="374"/>
      <c r="D7" s="374"/>
      <c r="E7" s="374"/>
      <c r="F7" s="197"/>
      <c r="G7" s="374" t="s">
        <v>527</v>
      </c>
      <c r="H7" s="374" t="s">
        <v>27</v>
      </c>
      <c r="I7" s="374"/>
      <c r="J7" s="374" t="s">
        <v>527</v>
      </c>
      <c r="K7" s="374" t="s">
        <v>27</v>
      </c>
      <c r="L7" s="374"/>
      <c r="M7" s="374"/>
      <c r="N7" s="374"/>
      <c r="O7" s="374"/>
      <c r="P7" s="374"/>
      <c r="Q7" s="374"/>
      <c r="R7" s="374"/>
      <c r="S7" s="374"/>
      <c r="T7" s="374" t="s">
        <v>527</v>
      </c>
      <c r="U7" s="374" t="s">
        <v>27</v>
      </c>
      <c r="V7" s="374"/>
      <c r="W7" s="374"/>
      <c r="X7" s="374"/>
      <c r="Y7" s="374"/>
    </row>
    <row r="8" spans="1:54" s="198" customFormat="1" ht="18.75" customHeight="1" x14ac:dyDescent="0.25">
      <c r="A8" s="374"/>
      <c r="B8" s="374"/>
      <c r="C8" s="374"/>
      <c r="D8" s="374"/>
      <c r="E8" s="374"/>
      <c r="F8" s="197"/>
      <c r="G8" s="374"/>
      <c r="H8" s="374" t="s">
        <v>528</v>
      </c>
      <c r="I8" s="374" t="s">
        <v>529</v>
      </c>
      <c r="J8" s="374"/>
      <c r="K8" s="374" t="s">
        <v>530</v>
      </c>
      <c r="L8" s="374"/>
      <c r="M8" s="374"/>
      <c r="N8" s="374" t="s">
        <v>529</v>
      </c>
      <c r="O8" s="374"/>
      <c r="P8" s="374"/>
      <c r="Q8" s="374"/>
      <c r="R8" s="374"/>
      <c r="S8" s="374"/>
      <c r="T8" s="374"/>
      <c r="U8" s="375" t="s">
        <v>29</v>
      </c>
      <c r="V8" s="375" t="s">
        <v>29</v>
      </c>
      <c r="W8" s="375" t="s">
        <v>29</v>
      </c>
      <c r="X8" s="374" t="s">
        <v>529</v>
      </c>
      <c r="Y8" s="374"/>
    </row>
    <row r="9" spans="1:54" s="198" customFormat="1" ht="33" customHeight="1" x14ac:dyDescent="0.25">
      <c r="A9" s="374"/>
      <c r="B9" s="374"/>
      <c r="C9" s="374"/>
      <c r="D9" s="374"/>
      <c r="E9" s="374"/>
      <c r="F9" s="197"/>
      <c r="G9" s="374"/>
      <c r="H9" s="374"/>
      <c r="I9" s="374"/>
      <c r="J9" s="374"/>
      <c r="K9" s="374"/>
      <c r="L9" s="374"/>
      <c r="M9" s="374"/>
      <c r="N9" s="374"/>
      <c r="O9" s="374"/>
      <c r="P9" s="374"/>
      <c r="Q9" s="374"/>
      <c r="R9" s="374"/>
      <c r="S9" s="374"/>
      <c r="T9" s="374"/>
      <c r="U9" s="375"/>
      <c r="V9" s="375"/>
      <c r="W9" s="375"/>
      <c r="X9" s="374"/>
      <c r="Y9" s="374"/>
    </row>
    <row r="10" spans="1:54" s="2" customFormat="1" ht="26.25" customHeight="1" x14ac:dyDescent="0.25">
      <c r="A10" s="106"/>
      <c r="B10" s="106" t="s">
        <v>531</v>
      </c>
      <c r="C10" s="110"/>
      <c r="D10" s="106"/>
      <c r="E10" s="106"/>
      <c r="F10" s="110"/>
      <c r="G10" s="150">
        <f>G11+G18+G22+G28+G33+G37+G44+G52+G57+G65+G61+G71+G75+G80+G83</f>
        <v>840594</v>
      </c>
      <c r="H10" s="150">
        <f>H11+H18+H22+H28+H33+H37+H44+H52+H57+H65+H61+H71+H75+H80+H83</f>
        <v>771488</v>
      </c>
      <c r="I10" s="150" t="e">
        <f>I11+I18+I22+I28+I33+I37+I44+I52+I57+I65+I61+I71+I75+I80+I83+#REF!+#REF!</f>
        <v>#REF!</v>
      </c>
      <c r="J10" s="150">
        <f>J11+J18+J22+J28+J33+J37+J44+J52+J57+J65+J61+J71+J75+J80+J83</f>
        <v>555483</v>
      </c>
      <c r="K10" s="150">
        <f>K11+K18+K22+K28+K33+K37+K44+K52+K57+K65+K61+K71+K75+K80+K83</f>
        <v>486398</v>
      </c>
      <c r="L10" s="150" t="e">
        <f>L11+L18+L22+L28+L33+L37+L44+L52+L57+L65+L61+L71+L75+L80+L83+#REF!+#REF!</f>
        <v>#REF!</v>
      </c>
      <c r="M10" s="150" t="e">
        <f>M11+M18+M22+M28+M33+M37+M44+M52+M57+M65+M61+M71+M75+M80+M83+#REF!+#REF!</f>
        <v>#REF!</v>
      </c>
      <c r="N10" s="150" t="e">
        <f>N11+N18+N22+N28+N33+N37+N44+N52+N57+N65+N61+N71+N75+N80+N83+#REF!+#REF!</f>
        <v>#REF!</v>
      </c>
      <c r="O10" s="150" t="e">
        <f>O11+O18+O22+O28+O33+O37+O44+O52+O57+O65+O61+O71+O75+O80+O83+#REF!+#REF!</f>
        <v>#REF!</v>
      </c>
      <c r="P10" s="150" t="e">
        <f>P11+P18+P22+P28+P33+P37+P44+P52+P57+P65+P61+P71+P75+P80+P83+#REF!+#REF!</f>
        <v>#REF!</v>
      </c>
      <c r="Q10" s="150" t="e">
        <f>Q11+Q18+Q22+Q28+Q33+Q37+Q44+Q52+Q57+Q65+Q61+Q71+Q75+Q80+Q83+#REF!+#REF!</f>
        <v>#REF!</v>
      </c>
      <c r="R10" s="150" t="e">
        <f>R11+R18+R22+R28+R33+R37+R44+R52+R57+R65+R61+R71+R75+R80+R83+#REF!+#REF!</f>
        <v>#REF!</v>
      </c>
      <c r="S10" s="150" t="e">
        <f>S11+S18+S22+S28+S33+S37+S44+S52+S57+S65+S61+S71+S75+S80+S83+#REF!+#REF!</f>
        <v>#REF!</v>
      </c>
      <c r="T10" s="150">
        <f>T11+T18+T22+T28+T33+T37+T44+T52+T57+T65+T61+T71+T75+T80+T83</f>
        <v>123650</v>
      </c>
      <c r="U10" s="150">
        <f>U11+U18+U22+U28+U33+U37+U44+U52+U57+U65+U61+U71+U75+U80+U83</f>
        <v>123650</v>
      </c>
      <c r="V10" s="150" t="e">
        <f>V11+V18+V22+V28+V33+V37+V44+V52+V57+V65+V61+V71+V75+V80+V83+#REF!+#REF!</f>
        <v>#REF!</v>
      </c>
      <c r="W10" s="150" t="e">
        <f>W11+W18+W22+W28+W33+W37+W44+W52+W57+W65+W61+W71+W75+W80+W83+#REF!+#REF!</f>
        <v>#REF!</v>
      </c>
      <c r="X10" s="150" t="e">
        <f>X11+X18+X22+X28+X33+X37+X44+X52+X57+X65+X61+X71+X75+X80+X83+#REF!+#REF!</f>
        <v>#REF!</v>
      </c>
      <c r="Y10" s="150">
        <f t="shared" ref="Y10:Z10" si="0">SUM(Y11:Y12)</f>
        <v>0</v>
      </c>
      <c r="Z10" s="150">
        <f t="shared" si="0"/>
        <v>0</v>
      </c>
      <c r="AA10" s="150">
        <f t="shared" ref="AA10:AB10" si="1">AA12</f>
        <v>0</v>
      </c>
      <c r="AB10" s="150">
        <f t="shared" si="1"/>
        <v>0</v>
      </c>
      <c r="AC10" s="150"/>
    </row>
    <row r="11" spans="1:54" s="198" customFormat="1" ht="24.75" customHeight="1" x14ac:dyDescent="0.25">
      <c r="A11" s="200" t="s">
        <v>35</v>
      </c>
      <c r="B11" s="201" t="s">
        <v>360</v>
      </c>
      <c r="C11" s="200"/>
      <c r="D11" s="201"/>
      <c r="E11" s="201"/>
      <c r="F11" s="201"/>
      <c r="G11" s="202">
        <f t="shared" ref="G11:X11" si="2">SUM(G12:G17)</f>
        <v>90400</v>
      </c>
      <c r="H11" s="202">
        <f t="shared" si="2"/>
        <v>82900</v>
      </c>
      <c r="I11" s="202">
        <f t="shared" si="2"/>
        <v>7500</v>
      </c>
      <c r="J11" s="202">
        <f t="shared" si="2"/>
        <v>63600</v>
      </c>
      <c r="K11" s="202">
        <f t="shared" si="2"/>
        <v>56100</v>
      </c>
      <c r="L11" s="202">
        <f t="shared" si="2"/>
        <v>55400</v>
      </c>
      <c r="M11" s="202">
        <f t="shared" si="2"/>
        <v>700</v>
      </c>
      <c r="N11" s="202">
        <f t="shared" si="2"/>
        <v>7500</v>
      </c>
      <c r="O11" s="202">
        <f t="shared" si="2"/>
        <v>26800</v>
      </c>
      <c r="P11" s="202">
        <f t="shared" si="2"/>
        <v>26800</v>
      </c>
      <c r="Q11" s="202">
        <f t="shared" si="2"/>
        <v>26800</v>
      </c>
      <c r="R11" s="202">
        <f t="shared" si="2"/>
        <v>0</v>
      </c>
      <c r="S11" s="202">
        <f t="shared" si="2"/>
        <v>0</v>
      </c>
      <c r="T11" s="202">
        <f t="shared" si="2"/>
        <v>14800</v>
      </c>
      <c r="U11" s="202">
        <f t="shared" si="2"/>
        <v>14800</v>
      </c>
      <c r="V11" s="202">
        <f t="shared" si="2"/>
        <v>55400</v>
      </c>
      <c r="W11" s="202">
        <f t="shared" si="2"/>
        <v>700</v>
      </c>
      <c r="X11" s="202">
        <f t="shared" si="2"/>
        <v>0</v>
      </c>
      <c r="Y11" s="200"/>
      <c r="Z11" s="203"/>
      <c r="AZ11" s="198">
        <f t="shared" ref="AZ11:AZ76" si="3">J11*0.3</f>
        <v>19080</v>
      </c>
    </row>
    <row r="12" spans="1:54" s="211" customFormat="1" ht="48" customHeight="1" x14ac:dyDescent="0.25">
      <c r="A12" s="204">
        <v>1</v>
      </c>
      <c r="B12" s="205" t="s">
        <v>532</v>
      </c>
      <c r="C12" s="204" t="s">
        <v>119</v>
      </c>
      <c r="D12" s="40" t="s">
        <v>120</v>
      </c>
      <c r="E12" s="206"/>
      <c r="F12" s="206"/>
      <c r="G12" s="207">
        <f t="shared" ref="G12:G17" si="4">H12+I12</f>
        <v>13500</v>
      </c>
      <c r="H12" s="208">
        <v>13300</v>
      </c>
      <c r="I12" s="208">
        <v>200</v>
      </c>
      <c r="J12" s="207">
        <f>L12+N12</f>
        <v>13500</v>
      </c>
      <c r="K12" s="207">
        <f t="shared" ref="K12:K46" si="5">L12+M12</f>
        <v>13300</v>
      </c>
      <c r="L12" s="208">
        <v>13300</v>
      </c>
      <c r="M12" s="208"/>
      <c r="N12" s="208">
        <v>200</v>
      </c>
      <c r="O12" s="207">
        <f t="shared" ref="O12:O36" si="6">P12+S12</f>
        <v>0</v>
      </c>
      <c r="P12" s="207">
        <f t="shared" ref="P12:P36" si="7">SUM(Q12:R12)</f>
        <v>0</v>
      </c>
      <c r="Q12" s="207">
        <f t="shared" ref="Q12:Q36" si="8">H12-K12</f>
        <v>0</v>
      </c>
      <c r="R12" s="208"/>
      <c r="S12" s="208"/>
      <c r="T12" s="209">
        <f>U12</f>
        <v>3000</v>
      </c>
      <c r="U12" s="210">
        <v>3000</v>
      </c>
      <c r="V12" s="208">
        <v>13300</v>
      </c>
      <c r="W12" s="208"/>
      <c r="X12" s="208"/>
      <c r="Y12" s="204"/>
      <c r="Z12" s="187" t="s">
        <v>533</v>
      </c>
      <c r="AZ12" s="198">
        <f t="shared" si="3"/>
        <v>4050</v>
      </c>
    </row>
    <row r="13" spans="1:54" s="211" customFormat="1" ht="42.75" customHeight="1" x14ac:dyDescent="0.25">
      <c r="A13" s="204">
        <v>2</v>
      </c>
      <c r="B13" s="205" t="s">
        <v>534</v>
      </c>
      <c r="C13" s="204" t="s">
        <v>119</v>
      </c>
      <c r="D13" s="40" t="s">
        <v>120</v>
      </c>
      <c r="E13" s="206" t="s">
        <v>535</v>
      </c>
      <c r="F13" s="206"/>
      <c r="G13" s="207">
        <f t="shared" si="4"/>
        <v>13000</v>
      </c>
      <c r="H13" s="208">
        <v>10000</v>
      </c>
      <c r="I13" s="208">
        <v>3000</v>
      </c>
      <c r="J13" s="207">
        <f>L13+N13</f>
        <v>9100</v>
      </c>
      <c r="K13" s="207">
        <f t="shared" si="5"/>
        <v>6100</v>
      </c>
      <c r="L13" s="208">
        <f>8000-1900</f>
        <v>6100</v>
      </c>
      <c r="M13" s="208"/>
      <c r="N13" s="208">
        <v>3000</v>
      </c>
      <c r="O13" s="207">
        <f t="shared" si="6"/>
        <v>3900</v>
      </c>
      <c r="P13" s="207">
        <f t="shared" si="7"/>
        <v>3900</v>
      </c>
      <c r="Q13" s="207">
        <f t="shared" si="8"/>
        <v>3900</v>
      </c>
      <c r="R13" s="208"/>
      <c r="S13" s="208"/>
      <c r="T13" s="209">
        <f t="shared" ref="T13:T17" si="9">U13</f>
        <v>1800</v>
      </c>
      <c r="U13" s="210">
        <v>1800</v>
      </c>
      <c r="V13" s="208">
        <f>8000-1900</f>
        <v>6100</v>
      </c>
      <c r="W13" s="208"/>
      <c r="X13" s="208"/>
      <c r="Y13" s="204"/>
      <c r="Z13" s="187" t="s">
        <v>533</v>
      </c>
      <c r="AZ13" s="198">
        <f t="shared" si="3"/>
        <v>2730</v>
      </c>
    </row>
    <row r="14" spans="1:54" s="211" customFormat="1" ht="39" customHeight="1" x14ac:dyDescent="0.25">
      <c r="A14" s="204">
        <v>3</v>
      </c>
      <c r="B14" s="205" t="s">
        <v>536</v>
      </c>
      <c r="C14" s="204" t="s">
        <v>119</v>
      </c>
      <c r="D14" s="40" t="s">
        <v>120</v>
      </c>
      <c r="E14" s="206"/>
      <c r="F14" s="206"/>
      <c r="G14" s="207">
        <f t="shared" si="4"/>
        <v>11000</v>
      </c>
      <c r="H14" s="208">
        <v>10000</v>
      </c>
      <c r="I14" s="208">
        <v>1000</v>
      </c>
      <c r="J14" s="207">
        <f>L14+N14</f>
        <v>7000</v>
      </c>
      <c r="K14" s="207">
        <f t="shared" si="5"/>
        <v>6000</v>
      </c>
      <c r="L14" s="208">
        <v>6000</v>
      </c>
      <c r="M14" s="208"/>
      <c r="N14" s="208">
        <v>1000</v>
      </c>
      <c r="O14" s="207">
        <f t="shared" si="6"/>
        <v>4000</v>
      </c>
      <c r="P14" s="207">
        <f t="shared" si="7"/>
        <v>4000</v>
      </c>
      <c r="Q14" s="207">
        <f t="shared" si="8"/>
        <v>4000</v>
      </c>
      <c r="R14" s="208"/>
      <c r="S14" s="208"/>
      <c r="T14" s="209">
        <f t="shared" si="9"/>
        <v>1800</v>
      </c>
      <c r="U14" s="210">
        <f t="shared" ref="U14:U16" si="10">K14*0.3</f>
        <v>1800</v>
      </c>
      <c r="V14" s="208">
        <v>6000</v>
      </c>
      <c r="W14" s="208"/>
      <c r="X14" s="208"/>
      <c r="Y14" s="204"/>
      <c r="Z14" s="187" t="s">
        <v>533</v>
      </c>
      <c r="AZ14" s="198">
        <f t="shared" si="3"/>
        <v>2100</v>
      </c>
    </row>
    <row r="15" spans="1:54" s="211" customFormat="1" ht="30.75" customHeight="1" x14ac:dyDescent="0.25">
      <c r="A15" s="204">
        <v>4</v>
      </c>
      <c r="B15" s="205" t="s">
        <v>537</v>
      </c>
      <c r="C15" s="204" t="s">
        <v>119</v>
      </c>
      <c r="D15" s="40" t="s">
        <v>120</v>
      </c>
      <c r="E15" s="206"/>
      <c r="F15" s="206"/>
      <c r="G15" s="207">
        <f t="shared" si="4"/>
        <v>12000</v>
      </c>
      <c r="H15" s="208">
        <v>11000</v>
      </c>
      <c r="I15" s="208">
        <v>1000</v>
      </c>
      <c r="J15" s="207">
        <f>L15+N15</f>
        <v>8000</v>
      </c>
      <c r="K15" s="207">
        <f t="shared" si="5"/>
        <v>7000</v>
      </c>
      <c r="L15" s="208">
        <v>7000</v>
      </c>
      <c r="M15" s="208"/>
      <c r="N15" s="208">
        <v>1000</v>
      </c>
      <c r="O15" s="207">
        <f t="shared" si="6"/>
        <v>4000</v>
      </c>
      <c r="P15" s="207">
        <f t="shared" si="7"/>
        <v>4000</v>
      </c>
      <c r="Q15" s="207">
        <f t="shared" si="8"/>
        <v>4000</v>
      </c>
      <c r="R15" s="208"/>
      <c r="S15" s="208"/>
      <c r="T15" s="209">
        <f t="shared" si="9"/>
        <v>2100</v>
      </c>
      <c r="U15" s="210">
        <f t="shared" si="10"/>
        <v>2100</v>
      </c>
      <c r="V15" s="208">
        <v>7000</v>
      </c>
      <c r="W15" s="208"/>
      <c r="X15" s="208"/>
      <c r="Y15" s="204"/>
      <c r="Z15" s="187" t="s">
        <v>533</v>
      </c>
      <c r="AZ15" s="198">
        <f t="shared" si="3"/>
        <v>2400</v>
      </c>
    </row>
    <row r="16" spans="1:54" s="211" customFormat="1" ht="28.5" customHeight="1" x14ac:dyDescent="0.25">
      <c r="A16" s="204">
        <v>5</v>
      </c>
      <c r="B16" s="205" t="s">
        <v>538</v>
      </c>
      <c r="C16" s="204" t="s">
        <v>119</v>
      </c>
      <c r="D16" s="40" t="s">
        <v>120</v>
      </c>
      <c r="E16" s="206"/>
      <c r="F16" s="206"/>
      <c r="G16" s="207">
        <f t="shared" si="4"/>
        <v>11000</v>
      </c>
      <c r="H16" s="208">
        <v>10000</v>
      </c>
      <c r="I16" s="208">
        <v>1000</v>
      </c>
      <c r="J16" s="207">
        <f>L16+N16</f>
        <v>8000</v>
      </c>
      <c r="K16" s="207">
        <f t="shared" si="5"/>
        <v>7000</v>
      </c>
      <c r="L16" s="208">
        <v>7000</v>
      </c>
      <c r="M16" s="208"/>
      <c r="N16" s="208">
        <v>1000</v>
      </c>
      <c r="O16" s="207">
        <f t="shared" si="6"/>
        <v>3000</v>
      </c>
      <c r="P16" s="207">
        <f t="shared" si="7"/>
        <v>3000</v>
      </c>
      <c r="Q16" s="207">
        <f t="shared" si="8"/>
        <v>3000</v>
      </c>
      <c r="R16" s="208"/>
      <c r="S16" s="208"/>
      <c r="T16" s="209">
        <f t="shared" si="9"/>
        <v>2100</v>
      </c>
      <c r="U16" s="210">
        <f t="shared" si="10"/>
        <v>2100</v>
      </c>
      <c r="V16" s="208">
        <v>7000</v>
      </c>
      <c r="W16" s="208"/>
      <c r="X16" s="208"/>
      <c r="Y16" s="204"/>
      <c r="Z16" s="187" t="s">
        <v>533</v>
      </c>
      <c r="AZ16" s="198">
        <f t="shared" si="3"/>
        <v>2400</v>
      </c>
    </row>
    <row r="17" spans="1:52" s="211" customFormat="1" ht="33.75" x14ac:dyDescent="0.25">
      <c r="A17" s="204">
        <v>6</v>
      </c>
      <c r="B17" s="205" t="s">
        <v>539</v>
      </c>
      <c r="C17" s="204" t="s">
        <v>119</v>
      </c>
      <c r="D17" s="40" t="s">
        <v>120</v>
      </c>
      <c r="E17" s="206"/>
      <c r="F17" s="206"/>
      <c r="G17" s="207">
        <f t="shared" si="4"/>
        <v>29900</v>
      </c>
      <c r="H17" s="208">
        <v>28600</v>
      </c>
      <c r="I17" s="208">
        <v>1300</v>
      </c>
      <c r="J17" s="207">
        <f>K17+N17</f>
        <v>18000</v>
      </c>
      <c r="K17" s="207">
        <f t="shared" si="5"/>
        <v>16700</v>
      </c>
      <c r="L17" s="208">
        <f>15200+500+300</f>
        <v>16000</v>
      </c>
      <c r="M17" s="208">
        <v>700</v>
      </c>
      <c r="N17" s="208">
        <v>1300</v>
      </c>
      <c r="O17" s="207">
        <f t="shared" si="6"/>
        <v>11900</v>
      </c>
      <c r="P17" s="207">
        <f t="shared" si="7"/>
        <v>11900</v>
      </c>
      <c r="Q17" s="207">
        <f t="shared" si="8"/>
        <v>11900</v>
      </c>
      <c r="R17" s="208"/>
      <c r="S17" s="208"/>
      <c r="T17" s="209">
        <f t="shared" si="9"/>
        <v>4000</v>
      </c>
      <c r="U17" s="210">
        <v>4000</v>
      </c>
      <c r="V17" s="208">
        <f>15200+500+300</f>
        <v>16000</v>
      </c>
      <c r="W17" s="208">
        <v>700</v>
      </c>
      <c r="X17" s="208"/>
      <c r="Y17" s="204"/>
      <c r="Z17" s="187" t="s">
        <v>540</v>
      </c>
      <c r="AZ17" s="198">
        <f t="shared" si="3"/>
        <v>5400</v>
      </c>
    </row>
    <row r="18" spans="1:52" s="198" customFormat="1" ht="18.75" x14ac:dyDescent="0.25">
      <c r="A18" s="200" t="s">
        <v>58</v>
      </c>
      <c r="B18" s="212" t="s">
        <v>541</v>
      </c>
      <c r="C18" s="204"/>
      <c r="D18" s="40"/>
      <c r="E18" s="212"/>
      <c r="F18" s="212"/>
      <c r="G18" s="213">
        <f t="shared" ref="G18:X18" si="11">SUM(G19:G21)</f>
        <v>32200</v>
      </c>
      <c r="H18" s="213">
        <f t="shared" si="11"/>
        <v>29200</v>
      </c>
      <c r="I18" s="213">
        <f t="shared" si="11"/>
        <v>3000</v>
      </c>
      <c r="J18" s="213">
        <f t="shared" si="11"/>
        <v>14000</v>
      </c>
      <c r="K18" s="213">
        <f t="shared" si="11"/>
        <v>11000</v>
      </c>
      <c r="L18" s="213">
        <f t="shared" si="11"/>
        <v>11000</v>
      </c>
      <c r="M18" s="213">
        <f t="shared" si="11"/>
        <v>0</v>
      </c>
      <c r="N18" s="213">
        <f t="shared" si="11"/>
        <v>3000</v>
      </c>
      <c r="O18" s="213">
        <f t="shared" si="11"/>
        <v>18200</v>
      </c>
      <c r="P18" s="213">
        <f t="shared" si="11"/>
        <v>18200</v>
      </c>
      <c r="Q18" s="213">
        <f t="shared" si="11"/>
        <v>18200</v>
      </c>
      <c r="R18" s="213">
        <f t="shared" si="11"/>
        <v>0</v>
      </c>
      <c r="S18" s="213">
        <f t="shared" si="11"/>
        <v>0</v>
      </c>
      <c r="T18" s="213">
        <f t="shared" si="11"/>
        <v>3400</v>
      </c>
      <c r="U18" s="213">
        <f t="shared" si="11"/>
        <v>3400</v>
      </c>
      <c r="V18" s="213">
        <f t="shared" si="11"/>
        <v>11000</v>
      </c>
      <c r="W18" s="213">
        <f t="shared" si="11"/>
        <v>0</v>
      </c>
      <c r="X18" s="213">
        <f t="shared" si="11"/>
        <v>0</v>
      </c>
      <c r="Y18" s="200"/>
      <c r="Z18" s="203"/>
      <c r="AZ18" s="198">
        <f t="shared" si="3"/>
        <v>4200</v>
      </c>
    </row>
    <row r="19" spans="1:52" s="211" customFormat="1" ht="33.75" x14ac:dyDescent="0.25">
      <c r="A19" s="204">
        <v>1</v>
      </c>
      <c r="B19" s="205" t="s">
        <v>542</v>
      </c>
      <c r="C19" s="204" t="s">
        <v>274</v>
      </c>
      <c r="D19" s="40" t="s">
        <v>543</v>
      </c>
      <c r="E19" s="206"/>
      <c r="F19" s="206"/>
      <c r="G19" s="207">
        <f>H19+I19</f>
        <v>13200</v>
      </c>
      <c r="H19" s="208">
        <v>12200</v>
      </c>
      <c r="I19" s="208">
        <v>1000</v>
      </c>
      <c r="J19" s="207">
        <f>L19+N19</f>
        <v>5000</v>
      </c>
      <c r="K19" s="207">
        <f>L19+M19</f>
        <v>4000</v>
      </c>
      <c r="L19" s="208">
        <v>4000</v>
      </c>
      <c r="M19" s="208"/>
      <c r="N19" s="208">
        <v>1000</v>
      </c>
      <c r="O19" s="207">
        <f t="shared" si="6"/>
        <v>8200</v>
      </c>
      <c r="P19" s="207">
        <f t="shared" si="7"/>
        <v>8200</v>
      </c>
      <c r="Q19" s="207">
        <f t="shared" si="8"/>
        <v>8200</v>
      </c>
      <c r="R19" s="208"/>
      <c r="S19" s="208"/>
      <c r="T19" s="209">
        <f>U19</f>
        <v>1200</v>
      </c>
      <c r="U19" s="210">
        <f>K19*0.3</f>
        <v>1200</v>
      </c>
      <c r="V19" s="208">
        <v>4000</v>
      </c>
      <c r="W19" s="208"/>
      <c r="X19" s="208"/>
      <c r="Y19" s="204"/>
      <c r="Z19" s="187" t="s">
        <v>544</v>
      </c>
      <c r="AZ19" s="198">
        <f t="shared" si="3"/>
        <v>1500</v>
      </c>
    </row>
    <row r="20" spans="1:52" s="211" customFormat="1" ht="33.75" x14ac:dyDescent="0.25">
      <c r="A20" s="204">
        <v>2</v>
      </c>
      <c r="B20" s="205" t="s">
        <v>545</v>
      </c>
      <c r="C20" s="204" t="s">
        <v>274</v>
      </c>
      <c r="D20" s="40" t="s">
        <v>543</v>
      </c>
      <c r="E20" s="206"/>
      <c r="F20" s="206"/>
      <c r="G20" s="207">
        <f>H20+I20</f>
        <v>9000</v>
      </c>
      <c r="H20" s="208">
        <v>8000</v>
      </c>
      <c r="I20" s="208">
        <v>1000</v>
      </c>
      <c r="J20" s="207">
        <f>L20+N20</f>
        <v>4000</v>
      </c>
      <c r="K20" s="207">
        <f t="shared" si="5"/>
        <v>3000</v>
      </c>
      <c r="L20" s="208">
        <v>3000</v>
      </c>
      <c r="M20" s="208"/>
      <c r="N20" s="208">
        <v>1000</v>
      </c>
      <c r="O20" s="207">
        <f t="shared" si="6"/>
        <v>5000</v>
      </c>
      <c r="P20" s="207">
        <f t="shared" si="7"/>
        <v>5000</v>
      </c>
      <c r="Q20" s="207">
        <f t="shared" si="8"/>
        <v>5000</v>
      </c>
      <c r="R20" s="208"/>
      <c r="S20" s="208"/>
      <c r="T20" s="209">
        <f t="shared" ref="T20:T84" si="12">U20</f>
        <v>1000</v>
      </c>
      <c r="U20" s="210">
        <v>1000</v>
      </c>
      <c r="V20" s="208">
        <v>3000</v>
      </c>
      <c r="W20" s="208"/>
      <c r="X20" s="208"/>
      <c r="Y20" s="204"/>
      <c r="Z20" s="187" t="s">
        <v>544</v>
      </c>
      <c r="AZ20" s="198">
        <f t="shared" si="3"/>
        <v>1200</v>
      </c>
    </row>
    <row r="21" spans="1:52" s="211" customFormat="1" ht="33.75" x14ac:dyDescent="0.25">
      <c r="A21" s="204">
        <v>3</v>
      </c>
      <c r="B21" s="205" t="s">
        <v>546</v>
      </c>
      <c r="C21" s="204" t="s">
        <v>274</v>
      </c>
      <c r="D21" s="40" t="s">
        <v>543</v>
      </c>
      <c r="E21" s="206"/>
      <c r="F21" s="206"/>
      <c r="G21" s="207">
        <f>H21+I21</f>
        <v>10000</v>
      </c>
      <c r="H21" s="208">
        <v>9000</v>
      </c>
      <c r="I21" s="208">
        <v>1000</v>
      </c>
      <c r="J21" s="207">
        <f>L21+N21</f>
        <v>5000</v>
      </c>
      <c r="K21" s="207">
        <f t="shared" si="5"/>
        <v>4000</v>
      </c>
      <c r="L21" s="208">
        <v>4000</v>
      </c>
      <c r="M21" s="208"/>
      <c r="N21" s="208">
        <v>1000</v>
      </c>
      <c r="O21" s="207">
        <f t="shared" si="6"/>
        <v>5000</v>
      </c>
      <c r="P21" s="207">
        <f t="shared" si="7"/>
        <v>5000</v>
      </c>
      <c r="Q21" s="207">
        <f t="shared" si="8"/>
        <v>5000</v>
      </c>
      <c r="R21" s="208"/>
      <c r="S21" s="208"/>
      <c r="T21" s="209">
        <f t="shared" si="12"/>
        <v>1200</v>
      </c>
      <c r="U21" s="210">
        <f t="shared" ref="U21" si="13">K21*0.3</f>
        <v>1200</v>
      </c>
      <c r="V21" s="208">
        <v>4000</v>
      </c>
      <c r="W21" s="208"/>
      <c r="X21" s="208"/>
      <c r="Y21" s="204"/>
      <c r="Z21" s="187" t="s">
        <v>544</v>
      </c>
      <c r="AZ21" s="198">
        <f t="shared" si="3"/>
        <v>1500</v>
      </c>
    </row>
    <row r="22" spans="1:52" s="198" customFormat="1" ht="23.25" customHeight="1" x14ac:dyDescent="0.25">
      <c r="A22" s="200" t="s">
        <v>66</v>
      </c>
      <c r="B22" s="201" t="s">
        <v>376</v>
      </c>
      <c r="C22" s="200"/>
      <c r="D22" s="201"/>
      <c r="E22" s="201"/>
      <c r="F22" s="201"/>
      <c r="G22" s="214">
        <f t="shared" ref="G22:U22" si="14">SUM(G23:G27)</f>
        <v>59400</v>
      </c>
      <c r="H22" s="214">
        <f t="shared" si="14"/>
        <v>54400</v>
      </c>
      <c r="I22" s="214">
        <f t="shared" si="14"/>
        <v>5000</v>
      </c>
      <c r="J22" s="214">
        <f t="shared" si="14"/>
        <v>38000</v>
      </c>
      <c r="K22" s="214">
        <f t="shared" si="14"/>
        <v>33000</v>
      </c>
      <c r="L22" s="214">
        <f t="shared" si="14"/>
        <v>33000</v>
      </c>
      <c r="M22" s="214">
        <f t="shared" si="14"/>
        <v>0</v>
      </c>
      <c r="N22" s="214">
        <f t="shared" si="14"/>
        <v>5000</v>
      </c>
      <c r="O22" s="214">
        <f t="shared" si="14"/>
        <v>21400</v>
      </c>
      <c r="P22" s="214">
        <f t="shared" si="14"/>
        <v>21400</v>
      </c>
      <c r="Q22" s="214">
        <f t="shared" si="14"/>
        <v>21400</v>
      </c>
      <c r="R22" s="214">
        <f t="shared" si="14"/>
        <v>0</v>
      </c>
      <c r="S22" s="214">
        <f t="shared" si="14"/>
        <v>0</v>
      </c>
      <c r="T22" s="214">
        <f t="shared" si="14"/>
        <v>7000</v>
      </c>
      <c r="U22" s="214">
        <f t="shared" si="14"/>
        <v>7000</v>
      </c>
      <c r="V22" s="214">
        <f t="shared" ref="V22:X22" si="15">SUM(V23:V27)</f>
        <v>33000</v>
      </c>
      <c r="W22" s="214">
        <f t="shared" si="15"/>
        <v>0</v>
      </c>
      <c r="X22" s="214">
        <f t="shared" si="15"/>
        <v>0</v>
      </c>
      <c r="Y22" s="200"/>
      <c r="Z22" s="203"/>
      <c r="AZ22" s="198">
        <f t="shared" si="3"/>
        <v>11400</v>
      </c>
    </row>
    <row r="23" spans="1:52" s="211" customFormat="1" ht="45.75" customHeight="1" x14ac:dyDescent="0.25">
      <c r="A23" s="204">
        <v>1</v>
      </c>
      <c r="B23" s="205" t="s">
        <v>547</v>
      </c>
      <c r="C23" s="204" t="s">
        <v>95</v>
      </c>
      <c r="D23" s="40" t="s">
        <v>548</v>
      </c>
      <c r="E23" s="206"/>
      <c r="F23" s="206"/>
      <c r="G23" s="207">
        <f>H23+I23</f>
        <v>26500</v>
      </c>
      <c r="H23" s="208">
        <v>24400</v>
      </c>
      <c r="I23" s="208">
        <v>2100</v>
      </c>
      <c r="J23" s="207">
        <f>L23+N23</f>
        <v>19100</v>
      </c>
      <c r="K23" s="207">
        <f t="shared" si="5"/>
        <v>17000</v>
      </c>
      <c r="L23" s="208">
        <v>17000</v>
      </c>
      <c r="M23" s="208"/>
      <c r="N23" s="208">
        <v>2100</v>
      </c>
      <c r="O23" s="207">
        <f t="shared" si="6"/>
        <v>7400</v>
      </c>
      <c r="P23" s="207">
        <f t="shared" si="7"/>
        <v>7400</v>
      </c>
      <c r="Q23" s="207">
        <f t="shared" si="8"/>
        <v>7400</v>
      </c>
      <c r="R23" s="208"/>
      <c r="S23" s="208"/>
      <c r="T23" s="209">
        <f t="shared" si="12"/>
        <v>3000</v>
      </c>
      <c r="U23" s="210">
        <v>3000</v>
      </c>
      <c r="V23" s="208">
        <v>17000</v>
      </c>
      <c r="W23" s="208"/>
      <c r="X23" s="208"/>
      <c r="Y23" s="204"/>
      <c r="Z23" s="187" t="s">
        <v>544</v>
      </c>
      <c r="AZ23" s="198">
        <f t="shared" si="3"/>
        <v>5730</v>
      </c>
    </row>
    <row r="24" spans="1:52" s="211" customFormat="1" ht="37.5" customHeight="1" x14ac:dyDescent="0.25">
      <c r="A24" s="204">
        <v>2</v>
      </c>
      <c r="B24" s="205" t="s">
        <v>549</v>
      </c>
      <c r="C24" s="204" t="s">
        <v>95</v>
      </c>
      <c r="D24" s="40" t="s">
        <v>548</v>
      </c>
      <c r="E24" s="206"/>
      <c r="F24" s="206"/>
      <c r="G24" s="207">
        <f>H24+I24</f>
        <v>9350</v>
      </c>
      <c r="H24" s="208">
        <v>8500</v>
      </c>
      <c r="I24" s="208">
        <v>850</v>
      </c>
      <c r="J24" s="207">
        <f>L24+N24</f>
        <v>4850</v>
      </c>
      <c r="K24" s="207">
        <f t="shared" si="5"/>
        <v>4000</v>
      </c>
      <c r="L24" s="208">
        <v>4000</v>
      </c>
      <c r="M24" s="208"/>
      <c r="N24" s="208">
        <v>850</v>
      </c>
      <c r="O24" s="207">
        <f t="shared" si="6"/>
        <v>4500</v>
      </c>
      <c r="P24" s="207">
        <f t="shared" si="7"/>
        <v>4500</v>
      </c>
      <c r="Q24" s="207">
        <f t="shared" si="8"/>
        <v>4500</v>
      </c>
      <c r="R24" s="208"/>
      <c r="S24" s="208"/>
      <c r="T24" s="209">
        <f t="shared" si="12"/>
        <v>1000</v>
      </c>
      <c r="U24" s="210">
        <v>1000</v>
      </c>
      <c r="V24" s="208">
        <v>4000</v>
      </c>
      <c r="W24" s="208"/>
      <c r="X24" s="208"/>
      <c r="Y24" s="204"/>
      <c r="Z24" s="187" t="s">
        <v>533</v>
      </c>
      <c r="AZ24" s="198">
        <f t="shared" si="3"/>
        <v>1455</v>
      </c>
    </row>
    <row r="25" spans="1:52" s="211" customFormat="1" ht="39.75" customHeight="1" x14ac:dyDescent="0.25">
      <c r="A25" s="204">
        <v>3</v>
      </c>
      <c r="B25" s="205" t="s">
        <v>550</v>
      </c>
      <c r="C25" s="204" t="s">
        <v>95</v>
      </c>
      <c r="D25" s="40" t="s">
        <v>548</v>
      </c>
      <c r="E25" s="206"/>
      <c r="F25" s="206"/>
      <c r="G25" s="207">
        <f>H25+I25</f>
        <v>7100</v>
      </c>
      <c r="H25" s="208">
        <v>6500</v>
      </c>
      <c r="I25" s="208">
        <v>600</v>
      </c>
      <c r="J25" s="207">
        <f>L25+N25</f>
        <v>4600</v>
      </c>
      <c r="K25" s="207">
        <f t="shared" si="5"/>
        <v>4000</v>
      </c>
      <c r="L25" s="208">
        <v>4000</v>
      </c>
      <c r="M25" s="208"/>
      <c r="N25" s="208">
        <v>600</v>
      </c>
      <c r="O25" s="207">
        <f t="shared" si="6"/>
        <v>2500</v>
      </c>
      <c r="P25" s="207">
        <f t="shared" si="7"/>
        <v>2500</v>
      </c>
      <c r="Q25" s="207">
        <f t="shared" si="8"/>
        <v>2500</v>
      </c>
      <c r="R25" s="208"/>
      <c r="S25" s="208"/>
      <c r="T25" s="209">
        <f t="shared" si="12"/>
        <v>1000</v>
      </c>
      <c r="U25" s="210">
        <v>1000</v>
      </c>
      <c r="V25" s="208">
        <v>4000</v>
      </c>
      <c r="W25" s="208"/>
      <c r="X25" s="208"/>
      <c r="Y25" s="204"/>
      <c r="Z25" s="187" t="s">
        <v>544</v>
      </c>
      <c r="AZ25" s="198">
        <f t="shared" si="3"/>
        <v>1380</v>
      </c>
    </row>
    <row r="26" spans="1:52" s="211" customFormat="1" ht="41.25" customHeight="1" x14ac:dyDescent="0.25">
      <c r="A26" s="204">
        <v>4</v>
      </c>
      <c r="B26" s="205" t="s">
        <v>551</v>
      </c>
      <c r="C26" s="204" t="s">
        <v>95</v>
      </c>
      <c r="D26" s="40" t="s">
        <v>548</v>
      </c>
      <c r="E26" s="206"/>
      <c r="F26" s="206"/>
      <c r="G26" s="207">
        <f>H26+I26</f>
        <v>8800</v>
      </c>
      <c r="H26" s="208">
        <v>8000</v>
      </c>
      <c r="I26" s="208">
        <v>800</v>
      </c>
      <c r="J26" s="207">
        <f>L26+N26</f>
        <v>4800</v>
      </c>
      <c r="K26" s="207">
        <f t="shared" si="5"/>
        <v>4000</v>
      </c>
      <c r="L26" s="208">
        <v>4000</v>
      </c>
      <c r="M26" s="208"/>
      <c r="N26" s="208">
        <v>800</v>
      </c>
      <c r="O26" s="207">
        <f t="shared" si="6"/>
        <v>4000</v>
      </c>
      <c r="P26" s="207">
        <f t="shared" si="7"/>
        <v>4000</v>
      </c>
      <c r="Q26" s="207">
        <f t="shared" si="8"/>
        <v>4000</v>
      </c>
      <c r="R26" s="208"/>
      <c r="S26" s="208"/>
      <c r="T26" s="209">
        <f t="shared" si="12"/>
        <v>1000</v>
      </c>
      <c r="U26" s="210">
        <v>1000</v>
      </c>
      <c r="V26" s="208">
        <v>4000</v>
      </c>
      <c r="W26" s="208"/>
      <c r="X26" s="208"/>
      <c r="Y26" s="204"/>
      <c r="Z26" s="187" t="s">
        <v>552</v>
      </c>
      <c r="AZ26" s="198">
        <f t="shared" si="3"/>
        <v>1440</v>
      </c>
    </row>
    <row r="27" spans="1:52" s="211" customFormat="1" ht="39.75" customHeight="1" x14ac:dyDescent="0.25">
      <c r="A27" s="204">
        <v>5</v>
      </c>
      <c r="B27" s="205" t="s">
        <v>553</v>
      </c>
      <c r="C27" s="204" t="s">
        <v>95</v>
      </c>
      <c r="D27" s="40" t="s">
        <v>548</v>
      </c>
      <c r="E27" s="206"/>
      <c r="F27" s="206"/>
      <c r="G27" s="207">
        <f>H27+I27</f>
        <v>7650</v>
      </c>
      <c r="H27" s="208">
        <v>7000</v>
      </c>
      <c r="I27" s="208">
        <v>650</v>
      </c>
      <c r="J27" s="207">
        <f>L27+N27</f>
        <v>4650</v>
      </c>
      <c r="K27" s="207">
        <f t="shared" si="5"/>
        <v>4000</v>
      </c>
      <c r="L27" s="208">
        <v>4000</v>
      </c>
      <c r="M27" s="208"/>
      <c r="N27" s="208">
        <v>650</v>
      </c>
      <c r="O27" s="207">
        <f t="shared" si="6"/>
        <v>3000</v>
      </c>
      <c r="P27" s="207">
        <f t="shared" si="7"/>
        <v>3000</v>
      </c>
      <c r="Q27" s="207">
        <f t="shared" si="8"/>
        <v>3000</v>
      </c>
      <c r="R27" s="208"/>
      <c r="S27" s="208"/>
      <c r="T27" s="209">
        <f t="shared" si="12"/>
        <v>1000</v>
      </c>
      <c r="U27" s="210">
        <v>1000</v>
      </c>
      <c r="V27" s="208">
        <v>4000</v>
      </c>
      <c r="W27" s="208"/>
      <c r="X27" s="208"/>
      <c r="Y27" s="204"/>
      <c r="Z27" s="187" t="s">
        <v>554</v>
      </c>
      <c r="AZ27" s="198">
        <f t="shared" si="3"/>
        <v>1395</v>
      </c>
    </row>
    <row r="28" spans="1:52" s="211" customFormat="1" ht="23.25" customHeight="1" x14ac:dyDescent="0.25">
      <c r="A28" s="200" t="s">
        <v>72</v>
      </c>
      <c r="B28" s="212" t="s">
        <v>386</v>
      </c>
      <c r="C28" s="204"/>
      <c r="D28" s="40"/>
      <c r="E28" s="212"/>
      <c r="F28" s="212"/>
      <c r="G28" s="213">
        <f t="shared" ref="G28:X28" si="16">SUM(G29:G32)</f>
        <v>36100</v>
      </c>
      <c r="H28" s="213">
        <f t="shared" si="16"/>
        <v>34500</v>
      </c>
      <c r="I28" s="213">
        <f t="shared" si="16"/>
        <v>1600</v>
      </c>
      <c r="J28" s="213">
        <f t="shared" si="16"/>
        <v>18100</v>
      </c>
      <c r="K28" s="213">
        <f t="shared" si="16"/>
        <v>16500</v>
      </c>
      <c r="L28" s="213">
        <f t="shared" si="16"/>
        <v>16500</v>
      </c>
      <c r="M28" s="213">
        <f t="shared" si="16"/>
        <v>0</v>
      </c>
      <c r="N28" s="213">
        <f t="shared" si="16"/>
        <v>1600</v>
      </c>
      <c r="O28" s="213">
        <f t="shared" si="16"/>
        <v>18000</v>
      </c>
      <c r="P28" s="213">
        <f t="shared" si="16"/>
        <v>18000</v>
      </c>
      <c r="Q28" s="213">
        <f t="shared" si="16"/>
        <v>18000</v>
      </c>
      <c r="R28" s="213">
        <f t="shared" si="16"/>
        <v>0</v>
      </c>
      <c r="S28" s="213">
        <f t="shared" si="16"/>
        <v>0</v>
      </c>
      <c r="T28" s="213">
        <f t="shared" si="16"/>
        <v>6100</v>
      </c>
      <c r="U28" s="213">
        <f t="shared" si="16"/>
        <v>6100</v>
      </c>
      <c r="V28" s="213">
        <f t="shared" si="16"/>
        <v>16500</v>
      </c>
      <c r="W28" s="213">
        <f t="shared" si="16"/>
        <v>0</v>
      </c>
      <c r="X28" s="213">
        <f t="shared" si="16"/>
        <v>0</v>
      </c>
      <c r="Y28" s="200"/>
      <c r="Z28" s="187"/>
      <c r="AZ28" s="198">
        <f t="shared" si="3"/>
        <v>5430</v>
      </c>
    </row>
    <row r="29" spans="1:52" s="211" customFormat="1" ht="39.75" customHeight="1" x14ac:dyDescent="0.25">
      <c r="A29" s="204">
        <v>1</v>
      </c>
      <c r="B29" s="205" t="s">
        <v>555</v>
      </c>
      <c r="C29" s="204" t="s">
        <v>292</v>
      </c>
      <c r="D29" s="40" t="s">
        <v>556</v>
      </c>
      <c r="E29" s="206"/>
      <c r="F29" s="206"/>
      <c r="G29" s="207">
        <f>H29+I29</f>
        <v>9300</v>
      </c>
      <c r="H29" s="208">
        <v>8500</v>
      </c>
      <c r="I29" s="208">
        <v>800</v>
      </c>
      <c r="J29" s="207">
        <f>L29+N29</f>
        <v>4800</v>
      </c>
      <c r="K29" s="207">
        <f t="shared" si="5"/>
        <v>4000</v>
      </c>
      <c r="L29" s="208">
        <v>4000</v>
      </c>
      <c r="M29" s="208"/>
      <c r="N29" s="208">
        <v>800</v>
      </c>
      <c r="O29" s="207">
        <f t="shared" si="6"/>
        <v>4500</v>
      </c>
      <c r="P29" s="207">
        <f t="shared" si="7"/>
        <v>4500</v>
      </c>
      <c r="Q29" s="207">
        <f t="shared" si="8"/>
        <v>4500</v>
      </c>
      <c r="R29" s="208"/>
      <c r="S29" s="208"/>
      <c r="T29" s="209">
        <f t="shared" si="12"/>
        <v>2500</v>
      </c>
      <c r="U29" s="210">
        <v>2500</v>
      </c>
      <c r="V29" s="208">
        <v>4000</v>
      </c>
      <c r="W29" s="208"/>
      <c r="X29" s="208"/>
      <c r="Y29" s="204"/>
      <c r="Z29" s="187" t="s">
        <v>533</v>
      </c>
      <c r="AZ29" s="198">
        <f t="shared" si="3"/>
        <v>1440</v>
      </c>
    </row>
    <row r="30" spans="1:52" s="211" customFormat="1" ht="39.75" customHeight="1" x14ac:dyDescent="0.25">
      <c r="A30" s="204">
        <v>2</v>
      </c>
      <c r="B30" s="205" t="s">
        <v>557</v>
      </c>
      <c r="C30" s="204" t="s">
        <v>292</v>
      </c>
      <c r="D30" s="40" t="s">
        <v>556</v>
      </c>
      <c r="E30" s="206"/>
      <c r="F30" s="206"/>
      <c r="G30" s="207">
        <f>H30+I30</f>
        <v>8800</v>
      </c>
      <c r="H30" s="208">
        <v>8000</v>
      </c>
      <c r="I30" s="208">
        <v>800</v>
      </c>
      <c r="J30" s="207">
        <f>L30+N30</f>
        <v>4800</v>
      </c>
      <c r="K30" s="207">
        <f t="shared" si="5"/>
        <v>4000</v>
      </c>
      <c r="L30" s="208">
        <v>4000</v>
      </c>
      <c r="M30" s="208"/>
      <c r="N30" s="208">
        <v>800</v>
      </c>
      <c r="O30" s="207">
        <f t="shared" si="6"/>
        <v>4000</v>
      </c>
      <c r="P30" s="207">
        <f t="shared" si="7"/>
        <v>4000</v>
      </c>
      <c r="Q30" s="207">
        <f t="shared" si="8"/>
        <v>4000</v>
      </c>
      <c r="R30" s="208"/>
      <c r="S30" s="208"/>
      <c r="T30" s="209">
        <f t="shared" si="12"/>
        <v>1200</v>
      </c>
      <c r="U30" s="210">
        <v>1200</v>
      </c>
      <c r="V30" s="208">
        <v>4000</v>
      </c>
      <c r="W30" s="208"/>
      <c r="X30" s="208"/>
      <c r="Y30" s="204"/>
      <c r="Z30" s="187" t="s">
        <v>544</v>
      </c>
      <c r="AZ30" s="198">
        <f t="shared" si="3"/>
        <v>1440</v>
      </c>
    </row>
    <row r="31" spans="1:52" s="211" customFormat="1" ht="39.75" customHeight="1" x14ac:dyDescent="0.25">
      <c r="A31" s="204">
        <v>3</v>
      </c>
      <c r="B31" s="205" t="s">
        <v>558</v>
      </c>
      <c r="C31" s="204" t="s">
        <v>292</v>
      </c>
      <c r="D31" s="40" t="s">
        <v>556</v>
      </c>
      <c r="E31" s="206"/>
      <c r="F31" s="206"/>
      <c r="G31" s="207">
        <f>H31+I31</f>
        <v>8500</v>
      </c>
      <c r="H31" s="208">
        <v>8500</v>
      </c>
      <c r="I31" s="208">
        <v>0</v>
      </c>
      <c r="J31" s="207">
        <f>L31+N31</f>
        <v>4000</v>
      </c>
      <c r="K31" s="207">
        <f t="shared" si="5"/>
        <v>4000</v>
      </c>
      <c r="L31" s="208">
        <v>4000</v>
      </c>
      <c r="M31" s="208"/>
      <c r="N31" s="208">
        <v>0</v>
      </c>
      <c r="O31" s="207">
        <f t="shared" si="6"/>
        <v>4500</v>
      </c>
      <c r="P31" s="207">
        <f t="shared" si="7"/>
        <v>4500</v>
      </c>
      <c r="Q31" s="207">
        <f t="shared" si="8"/>
        <v>4500</v>
      </c>
      <c r="R31" s="208"/>
      <c r="S31" s="208"/>
      <c r="T31" s="209">
        <f t="shared" si="12"/>
        <v>1200</v>
      </c>
      <c r="U31" s="210">
        <v>1200</v>
      </c>
      <c r="V31" s="208">
        <v>4000</v>
      </c>
      <c r="W31" s="208"/>
      <c r="X31" s="208"/>
      <c r="Y31" s="204"/>
      <c r="Z31" s="187" t="s">
        <v>552</v>
      </c>
      <c r="AZ31" s="198">
        <f t="shared" si="3"/>
        <v>1200</v>
      </c>
    </row>
    <row r="32" spans="1:52" s="211" customFormat="1" ht="39.75" customHeight="1" x14ac:dyDescent="0.25">
      <c r="A32" s="204">
        <v>4</v>
      </c>
      <c r="B32" s="205" t="s">
        <v>559</v>
      </c>
      <c r="C32" s="204" t="s">
        <v>292</v>
      </c>
      <c r="D32" s="40" t="s">
        <v>556</v>
      </c>
      <c r="E32" s="206"/>
      <c r="F32" s="206"/>
      <c r="G32" s="207">
        <f>H32+I32</f>
        <v>9500</v>
      </c>
      <c r="H32" s="208">
        <v>9500</v>
      </c>
      <c r="I32" s="208"/>
      <c r="J32" s="207">
        <f>L32+N32</f>
        <v>4500</v>
      </c>
      <c r="K32" s="207">
        <f t="shared" si="5"/>
        <v>4500</v>
      </c>
      <c r="L32" s="208">
        <v>4500</v>
      </c>
      <c r="M32" s="208"/>
      <c r="N32" s="208"/>
      <c r="O32" s="207">
        <f t="shared" si="6"/>
        <v>5000</v>
      </c>
      <c r="P32" s="207">
        <f t="shared" si="7"/>
        <v>5000</v>
      </c>
      <c r="Q32" s="207">
        <f t="shared" si="8"/>
        <v>5000</v>
      </c>
      <c r="R32" s="208"/>
      <c r="S32" s="208"/>
      <c r="T32" s="209">
        <f t="shared" si="12"/>
        <v>1200</v>
      </c>
      <c r="U32" s="210">
        <v>1200</v>
      </c>
      <c r="V32" s="208">
        <v>4500</v>
      </c>
      <c r="W32" s="208"/>
      <c r="X32" s="208"/>
      <c r="Y32" s="204"/>
      <c r="Z32" s="187" t="s">
        <v>560</v>
      </c>
      <c r="AZ32" s="198">
        <f t="shared" si="3"/>
        <v>1350</v>
      </c>
    </row>
    <row r="33" spans="1:52" s="211" customFormat="1" ht="27" customHeight="1" x14ac:dyDescent="0.25">
      <c r="A33" s="200" t="s">
        <v>79</v>
      </c>
      <c r="B33" s="212" t="s">
        <v>397</v>
      </c>
      <c r="C33" s="204"/>
      <c r="D33" s="40"/>
      <c r="E33" s="212"/>
      <c r="F33" s="212"/>
      <c r="G33" s="213">
        <f t="shared" ref="G33:X33" si="17">SUM(G34:G36)</f>
        <v>38600</v>
      </c>
      <c r="H33" s="213">
        <f t="shared" si="17"/>
        <v>35800</v>
      </c>
      <c r="I33" s="213">
        <f t="shared" si="17"/>
        <v>2800</v>
      </c>
      <c r="J33" s="213">
        <f t="shared" si="17"/>
        <v>20800</v>
      </c>
      <c r="K33" s="213">
        <f t="shared" si="17"/>
        <v>18000</v>
      </c>
      <c r="L33" s="213">
        <f t="shared" si="17"/>
        <v>18000</v>
      </c>
      <c r="M33" s="213">
        <f t="shared" si="17"/>
        <v>0</v>
      </c>
      <c r="N33" s="213">
        <f t="shared" si="17"/>
        <v>2800</v>
      </c>
      <c r="O33" s="213">
        <f t="shared" si="17"/>
        <v>17800</v>
      </c>
      <c r="P33" s="213">
        <f t="shared" si="17"/>
        <v>17800</v>
      </c>
      <c r="Q33" s="213">
        <f t="shared" si="17"/>
        <v>17800</v>
      </c>
      <c r="R33" s="213">
        <f t="shared" si="17"/>
        <v>0</v>
      </c>
      <c r="S33" s="213">
        <f t="shared" si="17"/>
        <v>0</v>
      </c>
      <c r="T33" s="213">
        <f t="shared" si="17"/>
        <v>5800</v>
      </c>
      <c r="U33" s="213">
        <f t="shared" si="17"/>
        <v>5800</v>
      </c>
      <c r="V33" s="213">
        <f t="shared" si="17"/>
        <v>18000</v>
      </c>
      <c r="W33" s="213">
        <f t="shared" si="17"/>
        <v>0</v>
      </c>
      <c r="X33" s="213">
        <f t="shared" si="17"/>
        <v>0</v>
      </c>
      <c r="Y33" s="200"/>
      <c r="Z33" s="187"/>
      <c r="AA33" s="215"/>
      <c r="AZ33" s="198">
        <f t="shared" si="3"/>
        <v>6240</v>
      </c>
    </row>
    <row r="34" spans="1:52" s="211" customFormat="1" ht="35.25" customHeight="1" x14ac:dyDescent="0.25">
      <c r="A34" s="204">
        <v>1</v>
      </c>
      <c r="B34" s="205" t="s">
        <v>561</v>
      </c>
      <c r="C34" s="204" t="s">
        <v>56</v>
      </c>
      <c r="D34" s="40" t="s">
        <v>562</v>
      </c>
      <c r="E34" s="206"/>
      <c r="F34" s="206"/>
      <c r="G34" s="207">
        <f>H34+I34</f>
        <v>9000</v>
      </c>
      <c r="H34" s="208">
        <v>8000</v>
      </c>
      <c r="I34" s="208">
        <v>1000</v>
      </c>
      <c r="J34" s="207">
        <f>L34+N34</f>
        <v>6000</v>
      </c>
      <c r="K34" s="207">
        <f>L34+M34</f>
        <v>5000</v>
      </c>
      <c r="L34" s="208">
        <v>5000</v>
      </c>
      <c r="M34" s="208"/>
      <c r="N34" s="208">
        <v>1000</v>
      </c>
      <c r="O34" s="207">
        <f>P34+S34</f>
        <v>3000</v>
      </c>
      <c r="P34" s="207">
        <f>SUM(Q34:R34)</f>
        <v>3000</v>
      </c>
      <c r="Q34" s="207">
        <f>H34-K34</f>
        <v>3000</v>
      </c>
      <c r="R34" s="208"/>
      <c r="S34" s="208"/>
      <c r="T34" s="209">
        <f t="shared" si="12"/>
        <v>2000</v>
      </c>
      <c r="U34" s="210">
        <v>2000</v>
      </c>
      <c r="V34" s="208">
        <v>5000</v>
      </c>
      <c r="W34" s="208"/>
      <c r="X34" s="208"/>
      <c r="Y34" s="204"/>
      <c r="Z34" s="187" t="s">
        <v>563</v>
      </c>
      <c r="AZ34" s="198">
        <f t="shared" si="3"/>
        <v>1800</v>
      </c>
    </row>
    <row r="35" spans="1:52" s="211" customFormat="1" ht="37.5" customHeight="1" x14ac:dyDescent="0.25">
      <c r="A35" s="204">
        <v>2</v>
      </c>
      <c r="B35" s="205" t="s">
        <v>564</v>
      </c>
      <c r="C35" s="204" t="s">
        <v>56</v>
      </c>
      <c r="D35" s="40" t="s">
        <v>562</v>
      </c>
      <c r="E35" s="206"/>
      <c r="F35" s="206"/>
      <c r="G35" s="207">
        <f>H35+I35</f>
        <v>14800</v>
      </c>
      <c r="H35" s="208">
        <v>13800</v>
      </c>
      <c r="I35" s="208">
        <v>1000</v>
      </c>
      <c r="J35" s="207">
        <f>L35+N35</f>
        <v>7000</v>
      </c>
      <c r="K35" s="207">
        <f t="shared" si="5"/>
        <v>6000</v>
      </c>
      <c r="L35" s="208">
        <v>6000</v>
      </c>
      <c r="M35" s="208"/>
      <c r="N35" s="208">
        <v>1000</v>
      </c>
      <c r="O35" s="207">
        <f t="shared" si="6"/>
        <v>7800</v>
      </c>
      <c r="P35" s="207">
        <f t="shared" si="7"/>
        <v>7800</v>
      </c>
      <c r="Q35" s="207">
        <f t="shared" si="8"/>
        <v>7800</v>
      </c>
      <c r="R35" s="208"/>
      <c r="S35" s="208"/>
      <c r="T35" s="209">
        <f t="shared" si="12"/>
        <v>1800</v>
      </c>
      <c r="U35" s="210">
        <f t="shared" ref="U35:U69" si="18">K35*0.3</f>
        <v>1800</v>
      </c>
      <c r="V35" s="208">
        <v>6000</v>
      </c>
      <c r="W35" s="208"/>
      <c r="X35" s="208"/>
      <c r="Y35" s="204"/>
      <c r="Z35" s="187" t="s">
        <v>544</v>
      </c>
      <c r="AZ35" s="198">
        <f t="shared" si="3"/>
        <v>2100</v>
      </c>
    </row>
    <row r="36" spans="1:52" s="211" customFormat="1" ht="44.25" customHeight="1" x14ac:dyDescent="0.25">
      <c r="A36" s="204">
        <v>3</v>
      </c>
      <c r="B36" s="205" t="s">
        <v>565</v>
      </c>
      <c r="C36" s="204" t="s">
        <v>56</v>
      </c>
      <c r="D36" s="40" t="s">
        <v>562</v>
      </c>
      <c r="E36" s="206"/>
      <c r="F36" s="206"/>
      <c r="G36" s="207">
        <f>H36+I36</f>
        <v>14800</v>
      </c>
      <c r="H36" s="208">
        <v>14000</v>
      </c>
      <c r="I36" s="208">
        <v>800</v>
      </c>
      <c r="J36" s="207">
        <f>L36+N36</f>
        <v>7800</v>
      </c>
      <c r="K36" s="207">
        <f t="shared" si="5"/>
        <v>7000</v>
      </c>
      <c r="L36" s="208">
        <v>7000</v>
      </c>
      <c r="M36" s="208"/>
      <c r="N36" s="208">
        <v>800</v>
      </c>
      <c r="O36" s="207">
        <f t="shared" si="6"/>
        <v>7000</v>
      </c>
      <c r="P36" s="207">
        <f t="shared" si="7"/>
        <v>7000</v>
      </c>
      <c r="Q36" s="207">
        <f t="shared" si="8"/>
        <v>7000</v>
      </c>
      <c r="R36" s="208"/>
      <c r="S36" s="208"/>
      <c r="T36" s="209">
        <f t="shared" si="12"/>
        <v>2000</v>
      </c>
      <c r="U36" s="210">
        <v>2000</v>
      </c>
      <c r="V36" s="208">
        <v>7000</v>
      </c>
      <c r="W36" s="208"/>
      <c r="X36" s="208"/>
      <c r="Y36" s="204"/>
      <c r="Z36" s="187" t="s">
        <v>552</v>
      </c>
      <c r="AZ36" s="198">
        <f t="shared" si="3"/>
        <v>2340</v>
      </c>
    </row>
    <row r="37" spans="1:52" s="211" customFormat="1" ht="24.75" customHeight="1" x14ac:dyDescent="0.25">
      <c r="A37" s="200" t="s">
        <v>112</v>
      </c>
      <c r="B37" s="212" t="s">
        <v>404</v>
      </c>
      <c r="C37" s="204"/>
      <c r="D37" s="40"/>
      <c r="E37" s="212"/>
      <c r="F37" s="212"/>
      <c r="G37" s="213">
        <f>SUM(G38:G43)</f>
        <v>65500</v>
      </c>
      <c r="H37" s="213">
        <f t="shared" ref="H37:U37" si="19">SUM(H38:H43)</f>
        <v>65500</v>
      </c>
      <c r="I37" s="213">
        <f t="shared" si="19"/>
        <v>0</v>
      </c>
      <c r="J37" s="213">
        <f t="shared" si="19"/>
        <v>45600</v>
      </c>
      <c r="K37" s="213">
        <f t="shared" si="19"/>
        <v>45600</v>
      </c>
      <c r="L37" s="213">
        <f t="shared" si="19"/>
        <v>21600</v>
      </c>
      <c r="M37" s="213">
        <f t="shared" si="19"/>
        <v>8000</v>
      </c>
      <c r="N37" s="213">
        <f t="shared" si="19"/>
        <v>4000</v>
      </c>
      <c r="O37" s="213">
        <f t="shared" si="19"/>
        <v>19900</v>
      </c>
      <c r="P37" s="213">
        <f t="shared" si="19"/>
        <v>19900</v>
      </c>
      <c r="Q37" s="213">
        <f t="shared" si="19"/>
        <v>19900</v>
      </c>
      <c r="R37" s="213">
        <f t="shared" si="19"/>
        <v>0</v>
      </c>
      <c r="S37" s="213">
        <f t="shared" si="19"/>
        <v>0</v>
      </c>
      <c r="T37" s="213">
        <f t="shared" si="19"/>
        <v>10100</v>
      </c>
      <c r="U37" s="213">
        <f t="shared" si="19"/>
        <v>10100</v>
      </c>
      <c r="V37" s="213">
        <f t="shared" ref="V37:X37" si="20">SUM(V38:V42)</f>
        <v>21600</v>
      </c>
      <c r="W37" s="213">
        <f t="shared" si="20"/>
        <v>4000</v>
      </c>
      <c r="X37" s="213">
        <f t="shared" si="20"/>
        <v>0</v>
      </c>
      <c r="Y37" s="200"/>
      <c r="Z37" s="187"/>
      <c r="AA37" s="215">
        <f>K37-'[23]PLVI-huyen'!$J$72</f>
        <v>-61400</v>
      </c>
      <c r="AB37" s="211">
        <v>-6500</v>
      </c>
      <c r="AZ37" s="198">
        <f t="shared" si="3"/>
        <v>13680</v>
      </c>
    </row>
    <row r="38" spans="1:52" s="217" customFormat="1" ht="33.75" x14ac:dyDescent="0.25">
      <c r="A38" s="207">
        <v>1</v>
      </c>
      <c r="B38" s="216" t="s">
        <v>566</v>
      </c>
      <c r="C38" s="204" t="s">
        <v>99</v>
      </c>
      <c r="D38" s="40" t="s">
        <v>567</v>
      </c>
      <c r="E38" s="207"/>
      <c r="F38" s="207"/>
      <c r="G38" s="207">
        <f>H38+I38</f>
        <v>8000</v>
      </c>
      <c r="H38" s="207">
        <v>8000</v>
      </c>
      <c r="I38" s="207"/>
      <c r="J38" s="207">
        <f>L38+N38</f>
        <v>5000</v>
      </c>
      <c r="K38" s="207">
        <f t="shared" si="5"/>
        <v>5000</v>
      </c>
      <c r="L38" s="207">
        <v>5000</v>
      </c>
      <c r="M38" s="207"/>
      <c r="N38" s="207"/>
      <c r="O38" s="207">
        <f>P38</f>
        <v>3000</v>
      </c>
      <c r="P38" s="207">
        <f t="shared" ref="P38:Q42" si="21">G38-J38</f>
        <v>3000</v>
      </c>
      <c r="Q38" s="207">
        <f t="shared" si="21"/>
        <v>3000</v>
      </c>
      <c r="R38" s="207"/>
      <c r="S38" s="207"/>
      <c r="T38" s="209">
        <f t="shared" si="12"/>
        <v>1500</v>
      </c>
      <c r="U38" s="210">
        <f t="shared" si="18"/>
        <v>1500</v>
      </c>
      <c r="V38" s="207">
        <v>5000</v>
      </c>
      <c r="W38" s="207"/>
      <c r="X38" s="207"/>
      <c r="Y38" s="207"/>
      <c r="Z38" s="217" t="s">
        <v>544</v>
      </c>
      <c r="AZ38" s="217">
        <f t="shared" si="3"/>
        <v>1500</v>
      </c>
    </row>
    <row r="39" spans="1:52" s="217" customFormat="1" ht="33.75" x14ac:dyDescent="0.25">
      <c r="A39" s="207">
        <v>2</v>
      </c>
      <c r="B39" s="216" t="s">
        <v>568</v>
      </c>
      <c r="C39" s="204" t="s">
        <v>99</v>
      </c>
      <c r="D39" s="40" t="s">
        <v>567</v>
      </c>
      <c r="E39" s="207"/>
      <c r="F39" s="207"/>
      <c r="G39" s="207">
        <f>H39+I39</f>
        <v>7500</v>
      </c>
      <c r="H39" s="207">
        <v>7500</v>
      </c>
      <c r="I39" s="207"/>
      <c r="J39" s="207">
        <f>L39+N39</f>
        <v>4000</v>
      </c>
      <c r="K39" s="207">
        <f t="shared" si="5"/>
        <v>4000</v>
      </c>
      <c r="L39" s="207">
        <v>4000</v>
      </c>
      <c r="M39" s="207"/>
      <c r="N39" s="207"/>
      <c r="O39" s="207">
        <f>P39</f>
        <v>3500</v>
      </c>
      <c r="P39" s="207">
        <f t="shared" si="21"/>
        <v>3500</v>
      </c>
      <c r="Q39" s="207">
        <f t="shared" si="21"/>
        <v>3500</v>
      </c>
      <c r="R39" s="207"/>
      <c r="S39" s="207"/>
      <c r="T39" s="209">
        <f t="shared" si="12"/>
        <v>1000</v>
      </c>
      <c r="U39" s="210">
        <v>1000</v>
      </c>
      <c r="V39" s="207">
        <v>4000</v>
      </c>
      <c r="W39" s="207"/>
      <c r="X39" s="207"/>
      <c r="Y39" s="207"/>
      <c r="Z39" s="217" t="s">
        <v>552</v>
      </c>
      <c r="AZ39" s="217">
        <f t="shared" si="3"/>
        <v>1200</v>
      </c>
    </row>
    <row r="40" spans="1:52" s="217" customFormat="1" ht="33.75" x14ac:dyDescent="0.25">
      <c r="A40" s="207">
        <v>3</v>
      </c>
      <c r="B40" s="216" t="s">
        <v>569</v>
      </c>
      <c r="C40" s="204" t="s">
        <v>99</v>
      </c>
      <c r="D40" s="40" t="s">
        <v>567</v>
      </c>
      <c r="E40" s="207"/>
      <c r="F40" s="207"/>
      <c r="G40" s="207">
        <f>H40+I40</f>
        <v>7000</v>
      </c>
      <c r="H40" s="207">
        <v>7000</v>
      </c>
      <c r="I40" s="207">
        <v>0</v>
      </c>
      <c r="J40" s="207">
        <f>L40+N40</f>
        <v>4000</v>
      </c>
      <c r="K40" s="207">
        <f t="shared" si="5"/>
        <v>4000</v>
      </c>
      <c r="L40" s="207">
        <v>4000</v>
      </c>
      <c r="M40" s="207"/>
      <c r="N40" s="207">
        <v>0</v>
      </c>
      <c r="O40" s="207">
        <f>P40</f>
        <v>3000</v>
      </c>
      <c r="P40" s="207">
        <f t="shared" si="21"/>
        <v>3000</v>
      </c>
      <c r="Q40" s="207">
        <f t="shared" si="21"/>
        <v>3000</v>
      </c>
      <c r="R40" s="207"/>
      <c r="S40" s="207"/>
      <c r="T40" s="209">
        <f t="shared" si="12"/>
        <v>1000</v>
      </c>
      <c r="U40" s="210">
        <v>1000</v>
      </c>
      <c r="V40" s="207">
        <v>4000</v>
      </c>
      <c r="W40" s="207"/>
      <c r="X40" s="207">
        <v>0</v>
      </c>
      <c r="Y40" s="207"/>
      <c r="Z40" s="217" t="s">
        <v>552</v>
      </c>
      <c r="AZ40" s="217">
        <f t="shared" si="3"/>
        <v>1200</v>
      </c>
    </row>
    <row r="41" spans="1:52" s="217" customFormat="1" ht="38.25" x14ac:dyDescent="0.25">
      <c r="A41" s="207">
        <v>4</v>
      </c>
      <c r="B41" s="216" t="s">
        <v>570</v>
      </c>
      <c r="C41" s="204" t="s">
        <v>99</v>
      </c>
      <c r="D41" s="40" t="s">
        <v>567</v>
      </c>
      <c r="E41" s="207"/>
      <c r="F41" s="207"/>
      <c r="G41" s="207">
        <f>H41+I41</f>
        <v>15000</v>
      </c>
      <c r="H41" s="207">
        <v>15000</v>
      </c>
      <c r="I41" s="207"/>
      <c r="J41" s="207">
        <f>K41</f>
        <v>8000</v>
      </c>
      <c r="K41" s="207">
        <f t="shared" si="5"/>
        <v>8000</v>
      </c>
      <c r="L41" s="207">
        <v>4000</v>
      </c>
      <c r="M41" s="207">
        <v>4000</v>
      </c>
      <c r="N41" s="207"/>
      <c r="O41" s="207">
        <f>P41</f>
        <v>7000</v>
      </c>
      <c r="P41" s="207">
        <f t="shared" si="21"/>
        <v>7000</v>
      </c>
      <c r="Q41" s="207">
        <f t="shared" si="21"/>
        <v>7000</v>
      </c>
      <c r="R41" s="207"/>
      <c r="S41" s="207"/>
      <c r="T41" s="209">
        <f t="shared" si="12"/>
        <v>1600</v>
      </c>
      <c r="U41" s="210">
        <f>K41*0.2</f>
        <v>1600</v>
      </c>
      <c r="V41" s="207">
        <v>4000</v>
      </c>
      <c r="W41" s="207">
        <v>4000</v>
      </c>
      <c r="X41" s="207"/>
      <c r="Y41" s="207"/>
      <c r="Z41" s="217" t="s">
        <v>563</v>
      </c>
      <c r="AZ41" s="217">
        <f t="shared" si="3"/>
        <v>2400</v>
      </c>
    </row>
    <row r="42" spans="1:52" s="217" customFormat="1" ht="33.75" x14ac:dyDescent="0.25">
      <c r="A42" s="207">
        <v>5</v>
      </c>
      <c r="B42" s="216" t="s">
        <v>571</v>
      </c>
      <c r="C42" s="204" t="s">
        <v>99</v>
      </c>
      <c r="D42" s="40" t="s">
        <v>567</v>
      </c>
      <c r="E42" s="207"/>
      <c r="F42" s="207"/>
      <c r="G42" s="207">
        <f>H42+I42</f>
        <v>8000</v>
      </c>
      <c r="H42" s="207">
        <v>8000</v>
      </c>
      <c r="I42" s="207"/>
      <c r="J42" s="207">
        <f>L42+N42</f>
        <v>4600</v>
      </c>
      <c r="K42" s="207">
        <v>4600</v>
      </c>
      <c r="L42" s="207">
        <v>4600</v>
      </c>
      <c r="M42" s="207"/>
      <c r="N42" s="207"/>
      <c r="O42" s="207">
        <f>P42</f>
        <v>3400</v>
      </c>
      <c r="P42" s="207">
        <f t="shared" si="21"/>
        <v>3400</v>
      </c>
      <c r="Q42" s="207">
        <f t="shared" si="21"/>
        <v>3400</v>
      </c>
      <c r="R42" s="207"/>
      <c r="S42" s="207"/>
      <c r="T42" s="209">
        <f t="shared" si="12"/>
        <v>1000</v>
      </c>
      <c r="U42" s="210">
        <v>1000</v>
      </c>
      <c r="V42" s="207">
        <v>4600</v>
      </c>
      <c r="W42" s="207"/>
      <c r="X42" s="207"/>
      <c r="Y42" s="207"/>
      <c r="Z42" s="217" t="s">
        <v>563</v>
      </c>
      <c r="AZ42" s="217">
        <f t="shared" si="3"/>
        <v>1380</v>
      </c>
    </row>
    <row r="43" spans="1:52" s="225" customFormat="1" ht="41.25" customHeight="1" x14ac:dyDescent="0.25">
      <c r="A43" s="207">
        <v>6</v>
      </c>
      <c r="B43" s="82" t="s">
        <v>572</v>
      </c>
      <c r="C43" s="204" t="s">
        <v>307</v>
      </c>
      <c r="D43" s="40" t="s">
        <v>567</v>
      </c>
      <c r="E43" s="46" t="s">
        <v>573</v>
      </c>
      <c r="F43" s="46"/>
      <c r="G43" s="218">
        <f t="shared" ref="G43" si="22">H43+I43</f>
        <v>20000</v>
      </c>
      <c r="H43" s="218">
        <v>20000</v>
      </c>
      <c r="I43" s="219">
        <v>0</v>
      </c>
      <c r="J43" s="218">
        <v>20000</v>
      </c>
      <c r="K43" s="218">
        <v>20000</v>
      </c>
      <c r="L43" s="218">
        <v>0</v>
      </c>
      <c r="M43" s="220">
        <f t="shared" ref="M43" si="23">N43</f>
        <v>4000</v>
      </c>
      <c r="N43" s="220">
        <f>K43*20/100</f>
        <v>4000</v>
      </c>
      <c r="O43" s="218">
        <v>0</v>
      </c>
      <c r="P43" s="46"/>
      <c r="Q43" s="221"/>
      <c r="R43" s="221"/>
      <c r="S43" s="221"/>
      <c r="T43" s="222">
        <f t="shared" si="12"/>
        <v>4000</v>
      </c>
      <c r="U43" s="223">
        <v>4000</v>
      </c>
      <c r="V43" s="222"/>
      <c r="W43" s="222"/>
      <c r="X43" s="222"/>
      <c r="Y43" s="222"/>
      <c r="Z43" s="224" t="e">
        <f>#REF!+#REF!</f>
        <v>#REF!</v>
      </c>
      <c r="AA43" s="224" t="e">
        <f>#REF!+#REF!</f>
        <v>#REF!</v>
      </c>
    </row>
    <row r="44" spans="1:52" s="211" customFormat="1" ht="24" customHeight="1" x14ac:dyDescent="0.25">
      <c r="A44" s="200" t="s">
        <v>122</v>
      </c>
      <c r="B44" s="212" t="s">
        <v>411</v>
      </c>
      <c r="C44" s="204"/>
      <c r="D44" s="40"/>
      <c r="E44" s="212"/>
      <c r="F44" s="212"/>
      <c r="G44" s="213">
        <f>SUM(G45:G51)</f>
        <v>99930</v>
      </c>
      <c r="H44" s="213">
        <f t="shared" ref="H44:U44" si="24">SUM(H45:H51)</f>
        <v>87630</v>
      </c>
      <c r="I44" s="213">
        <f t="shared" si="24"/>
        <v>12300</v>
      </c>
      <c r="J44" s="213">
        <f t="shared" si="24"/>
        <v>73330</v>
      </c>
      <c r="K44" s="213">
        <f t="shared" si="24"/>
        <v>67030</v>
      </c>
      <c r="L44" s="213">
        <f t="shared" si="24"/>
        <v>31030</v>
      </c>
      <c r="M44" s="213">
        <f t="shared" si="24"/>
        <v>12000</v>
      </c>
      <c r="N44" s="213">
        <f t="shared" si="24"/>
        <v>18300</v>
      </c>
      <c r="O44" s="213">
        <f t="shared" si="24"/>
        <v>20600</v>
      </c>
      <c r="P44" s="213">
        <f t="shared" si="24"/>
        <v>20600</v>
      </c>
      <c r="Q44" s="213">
        <f t="shared" si="24"/>
        <v>20600</v>
      </c>
      <c r="R44" s="213">
        <f t="shared" si="24"/>
        <v>0</v>
      </c>
      <c r="S44" s="213">
        <f t="shared" si="24"/>
        <v>0</v>
      </c>
      <c r="T44" s="213">
        <f t="shared" si="24"/>
        <v>14700</v>
      </c>
      <c r="U44" s="213">
        <f t="shared" si="24"/>
        <v>14700</v>
      </c>
      <c r="V44" s="213">
        <f t="shared" ref="V44:X44" si="25">SUM(V45:V50)</f>
        <v>31030</v>
      </c>
      <c r="W44" s="213">
        <f t="shared" si="25"/>
        <v>6000</v>
      </c>
      <c r="X44" s="213">
        <f t="shared" si="25"/>
        <v>0</v>
      </c>
      <c r="Y44" s="200"/>
      <c r="Z44" s="187"/>
      <c r="AZ44" s="198">
        <f t="shared" si="3"/>
        <v>21999</v>
      </c>
    </row>
    <row r="45" spans="1:52" s="211" customFormat="1" ht="33.75" x14ac:dyDescent="0.25">
      <c r="A45" s="204">
        <v>1</v>
      </c>
      <c r="B45" s="205" t="s">
        <v>574</v>
      </c>
      <c r="C45" s="204" t="s">
        <v>319</v>
      </c>
      <c r="D45" s="40" t="s">
        <v>575</v>
      </c>
      <c r="E45" s="206"/>
      <c r="F45" s="206"/>
      <c r="G45" s="207">
        <f>H45+I45</f>
        <v>10500</v>
      </c>
      <c r="H45" s="208">
        <v>9500</v>
      </c>
      <c r="I45" s="208">
        <v>1000</v>
      </c>
      <c r="J45" s="207">
        <f t="shared" ref="J45:J50" si="26">L45+N45</f>
        <v>6000</v>
      </c>
      <c r="K45" s="207">
        <f t="shared" si="5"/>
        <v>5000</v>
      </c>
      <c r="L45" s="208">
        <v>5000</v>
      </c>
      <c r="M45" s="208"/>
      <c r="N45" s="208">
        <v>1000</v>
      </c>
      <c r="O45" s="207">
        <f t="shared" ref="O45:O60" si="27">P45+S45</f>
        <v>4500</v>
      </c>
      <c r="P45" s="207">
        <f t="shared" ref="P45:P60" si="28">SUM(Q45:R45)</f>
        <v>4500</v>
      </c>
      <c r="Q45" s="207">
        <f t="shared" ref="Q45:Q60" si="29">H45-K45</f>
        <v>4500</v>
      </c>
      <c r="R45" s="208"/>
      <c r="S45" s="208"/>
      <c r="T45" s="209">
        <f t="shared" si="12"/>
        <v>2000</v>
      </c>
      <c r="U45" s="210">
        <v>2000</v>
      </c>
      <c r="V45" s="208">
        <v>5000</v>
      </c>
      <c r="W45" s="208"/>
      <c r="X45" s="208"/>
      <c r="Y45" s="204"/>
      <c r="Z45" s="187" t="s">
        <v>544</v>
      </c>
      <c r="AZ45" s="198">
        <f t="shared" si="3"/>
        <v>1800</v>
      </c>
    </row>
    <row r="46" spans="1:52" s="211" customFormat="1" ht="33.75" x14ac:dyDescent="0.25">
      <c r="A46" s="204">
        <v>2</v>
      </c>
      <c r="B46" s="205" t="s">
        <v>576</v>
      </c>
      <c r="C46" s="204" t="s">
        <v>319</v>
      </c>
      <c r="D46" s="40" t="s">
        <v>575</v>
      </c>
      <c r="E46" s="206"/>
      <c r="F46" s="206"/>
      <c r="G46" s="207">
        <f>H46+I46</f>
        <v>11000</v>
      </c>
      <c r="H46" s="208">
        <v>9500</v>
      </c>
      <c r="I46" s="208">
        <v>1500</v>
      </c>
      <c r="J46" s="207">
        <f t="shared" si="26"/>
        <v>6500</v>
      </c>
      <c r="K46" s="207">
        <f t="shared" si="5"/>
        <v>5000</v>
      </c>
      <c r="L46" s="208">
        <v>5000</v>
      </c>
      <c r="M46" s="208"/>
      <c r="N46" s="208">
        <v>1500</v>
      </c>
      <c r="O46" s="207">
        <f t="shared" si="27"/>
        <v>4500</v>
      </c>
      <c r="P46" s="207">
        <f t="shared" si="28"/>
        <v>4500</v>
      </c>
      <c r="Q46" s="207">
        <f t="shared" si="29"/>
        <v>4500</v>
      </c>
      <c r="R46" s="208"/>
      <c r="S46" s="208"/>
      <c r="T46" s="209">
        <f t="shared" si="12"/>
        <v>2000</v>
      </c>
      <c r="U46" s="210">
        <v>2000</v>
      </c>
      <c r="V46" s="208">
        <v>5000</v>
      </c>
      <c r="W46" s="208"/>
      <c r="X46" s="208"/>
      <c r="Y46" s="204"/>
      <c r="Z46" s="187" t="s">
        <v>544</v>
      </c>
      <c r="AZ46" s="198">
        <f t="shared" si="3"/>
        <v>1950</v>
      </c>
    </row>
    <row r="47" spans="1:52" s="211" customFormat="1" ht="33.75" x14ac:dyDescent="0.25">
      <c r="A47" s="204">
        <v>3</v>
      </c>
      <c r="B47" s="205" t="s">
        <v>577</v>
      </c>
      <c r="C47" s="204" t="s">
        <v>319</v>
      </c>
      <c r="D47" s="40" t="s">
        <v>575</v>
      </c>
      <c r="E47" s="206"/>
      <c r="F47" s="206"/>
      <c r="G47" s="207">
        <v>14800</v>
      </c>
      <c r="H47" s="208">
        <v>10000</v>
      </c>
      <c r="I47" s="208">
        <v>4800</v>
      </c>
      <c r="J47" s="207">
        <f t="shared" si="26"/>
        <v>10330</v>
      </c>
      <c r="K47" s="207">
        <f>L47+M47</f>
        <v>5530</v>
      </c>
      <c r="L47" s="208">
        <f>5000+530</f>
        <v>5530</v>
      </c>
      <c r="M47" s="208"/>
      <c r="N47" s="208">
        <v>4800</v>
      </c>
      <c r="O47" s="207">
        <f t="shared" si="27"/>
        <v>4470</v>
      </c>
      <c r="P47" s="207">
        <f t="shared" si="28"/>
        <v>4470</v>
      </c>
      <c r="Q47" s="207">
        <f t="shared" si="29"/>
        <v>4470</v>
      </c>
      <c r="R47" s="208"/>
      <c r="S47" s="208"/>
      <c r="T47" s="209">
        <f t="shared" si="12"/>
        <v>1700</v>
      </c>
      <c r="U47" s="210">
        <v>1700</v>
      </c>
      <c r="V47" s="208">
        <f>5000+530</f>
        <v>5530</v>
      </c>
      <c r="W47" s="208"/>
      <c r="X47" s="208"/>
      <c r="Y47" s="204"/>
      <c r="Z47" s="187" t="s">
        <v>552</v>
      </c>
      <c r="AZ47" s="198">
        <f t="shared" si="3"/>
        <v>3099</v>
      </c>
    </row>
    <row r="48" spans="1:52" s="211" customFormat="1" ht="33.75" x14ac:dyDescent="0.25">
      <c r="A48" s="204">
        <v>4</v>
      </c>
      <c r="B48" s="205" t="s">
        <v>578</v>
      </c>
      <c r="C48" s="204" t="s">
        <v>319</v>
      </c>
      <c r="D48" s="40" t="s">
        <v>575</v>
      </c>
      <c r="E48" s="206"/>
      <c r="F48" s="206"/>
      <c r="G48" s="207">
        <f>H48+I48</f>
        <v>14000</v>
      </c>
      <c r="H48" s="208">
        <v>12000</v>
      </c>
      <c r="I48" s="208">
        <v>2000</v>
      </c>
      <c r="J48" s="207">
        <f>L48+N48</f>
        <v>14000</v>
      </c>
      <c r="K48" s="207">
        <f>L48+M48</f>
        <v>12000</v>
      </c>
      <c r="L48" s="208">
        <v>12000</v>
      </c>
      <c r="M48" s="208"/>
      <c r="N48" s="208">
        <v>2000</v>
      </c>
      <c r="O48" s="207">
        <f>P48+S48</f>
        <v>0</v>
      </c>
      <c r="P48" s="207">
        <f>SUM(Q48:R48)</f>
        <v>0</v>
      </c>
      <c r="Q48" s="207">
        <f>H48-K48</f>
        <v>0</v>
      </c>
      <c r="R48" s="208"/>
      <c r="S48" s="208"/>
      <c r="T48" s="209">
        <f>U48</f>
        <v>700</v>
      </c>
      <c r="U48" s="210">
        <v>700</v>
      </c>
      <c r="V48" s="208">
        <v>12000</v>
      </c>
      <c r="W48" s="208"/>
      <c r="X48" s="208"/>
      <c r="Y48" s="204"/>
      <c r="Z48" s="187" t="s">
        <v>552</v>
      </c>
      <c r="AZ48" s="198">
        <f>J48*0.3</f>
        <v>4200</v>
      </c>
    </row>
    <row r="49" spans="1:52" s="211" customFormat="1" ht="33.75" x14ac:dyDescent="0.25">
      <c r="A49" s="204">
        <v>5</v>
      </c>
      <c r="B49" s="205" t="s">
        <v>579</v>
      </c>
      <c r="C49" s="204" t="s">
        <v>319</v>
      </c>
      <c r="D49" s="40" t="s">
        <v>575</v>
      </c>
      <c r="E49" s="206"/>
      <c r="F49" s="206"/>
      <c r="G49" s="207">
        <f>H49+I49</f>
        <v>12630</v>
      </c>
      <c r="H49" s="208">
        <v>10630</v>
      </c>
      <c r="I49" s="208">
        <v>2000</v>
      </c>
      <c r="J49" s="207">
        <f t="shared" si="26"/>
        <v>5500</v>
      </c>
      <c r="K49" s="207">
        <f>L49+M49</f>
        <v>6500</v>
      </c>
      <c r="L49" s="208">
        <v>3500</v>
      </c>
      <c r="M49" s="208">
        <v>3000</v>
      </c>
      <c r="N49" s="208">
        <v>2000</v>
      </c>
      <c r="O49" s="207">
        <f>P49+S49</f>
        <v>4130</v>
      </c>
      <c r="P49" s="207">
        <f>SUM(Q49:R49)</f>
        <v>4130</v>
      </c>
      <c r="Q49" s="207">
        <f>H49-K49</f>
        <v>4130</v>
      </c>
      <c r="R49" s="208"/>
      <c r="S49" s="208"/>
      <c r="T49" s="209">
        <f t="shared" si="12"/>
        <v>1300</v>
      </c>
      <c r="U49" s="210">
        <f>K49*0.2</f>
        <v>1300</v>
      </c>
      <c r="V49" s="208">
        <v>3500</v>
      </c>
      <c r="W49" s="208">
        <v>3000</v>
      </c>
      <c r="X49" s="208"/>
      <c r="Y49" s="204"/>
      <c r="Z49" s="187" t="s">
        <v>544</v>
      </c>
      <c r="AZ49" s="198">
        <f t="shared" si="3"/>
        <v>1650</v>
      </c>
    </row>
    <row r="50" spans="1:52" s="211" customFormat="1" ht="33.75" x14ac:dyDescent="0.25">
      <c r="A50" s="204">
        <v>6</v>
      </c>
      <c r="B50" s="205" t="s">
        <v>580</v>
      </c>
      <c r="C50" s="204" t="s">
        <v>319</v>
      </c>
      <c r="D50" s="40" t="s">
        <v>575</v>
      </c>
      <c r="E50" s="206"/>
      <c r="F50" s="206"/>
      <c r="G50" s="226">
        <f>H50+I50</f>
        <v>7000</v>
      </c>
      <c r="H50" s="227">
        <v>6000</v>
      </c>
      <c r="I50" s="227">
        <v>1000</v>
      </c>
      <c r="J50" s="226">
        <f t="shared" si="26"/>
        <v>1000</v>
      </c>
      <c r="K50" s="207">
        <f t="shared" ref="K50:K60" si="30">L50+M50</f>
        <v>3000</v>
      </c>
      <c r="L50" s="227"/>
      <c r="M50" s="227">
        <v>3000</v>
      </c>
      <c r="N50" s="227">
        <v>1000</v>
      </c>
      <c r="O50" s="207">
        <f t="shared" si="27"/>
        <v>3000</v>
      </c>
      <c r="P50" s="207">
        <f t="shared" si="28"/>
        <v>3000</v>
      </c>
      <c r="Q50" s="207">
        <f t="shared" si="29"/>
        <v>3000</v>
      </c>
      <c r="R50" s="227"/>
      <c r="S50" s="227"/>
      <c r="T50" s="209">
        <f t="shared" si="12"/>
        <v>1000</v>
      </c>
      <c r="U50" s="210">
        <v>1000</v>
      </c>
      <c r="V50" s="227"/>
      <c r="W50" s="227">
        <v>3000</v>
      </c>
      <c r="X50" s="227"/>
      <c r="Y50" s="204"/>
      <c r="Z50" s="187" t="s">
        <v>581</v>
      </c>
      <c r="AZ50" s="198">
        <f t="shared" si="3"/>
        <v>300</v>
      </c>
    </row>
    <row r="51" spans="1:52" s="225" customFormat="1" ht="37.5" customHeight="1" x14ac:dyDescent="0.25">
      <c r="A51" s="204">
        <v>7</v>
      </c>
      <c r="B51" s="82" t="s">
        <v>582</v>
      </c>
      <c r="C51" s="204" t="s">
        <v>317</v>
      </c>
      <c r="D51" s="40" t="s">
        <v>575</v>
      </c>
      <c r="E51" s="46" t="s">
        <v>573</v>
      </c>
      <c r="F51" s="46"/>
      <c r="G51" s="218">
        <f t="shared" ref="G51" si="31">H51+I51</f>
        <v>30000</v>
      </c>
      <c r="H51" s="218">
        <v>30000</v>
      </c>
      <c r="I51" s="219">
        <v>0</v>
      </c>
      <c r="J51" s="218">
        <v>30000</v>
      </c>
      <c r="K51" s="218">
        <v>30000</v>
      </c>
      <c r="L51" s="218">
        <v>0</v>
      </c>
      <c r="M51" s="220">
        <f>N51</f>
        <v>6000</v>
      </c>
      <c r="N51" s="220">
        <f>K51*20/100</f>
        <v>6000</v>
      </c>
      <c r="O51" s="218">
        <v>0</v>
      </c>
      <c r="P51" s="46"/>
      <c r="Q51" s="221"/>
      <c r="R51" s="221"/>
      <c r="S51" s="221"/>
      <c r="T51" s="228">
        <f t="shared" si="12"/>
        <v>6000</v>
      </c>
      <c r="U51" s="229">
        <v>6000</v>
      </c>
      <c r="V51" s="221"/>
      <c r="W51" s="230"/>
      <c r="X51" s="231"/>
      <c r="Y51" s="228"/>
      <c r="Z51" s="232">
        <v>0</v>
      </c>
      <c r="AA51" s="232">
        <v>0</v>
      </c>
    </row>
    <row r="52" spans="1:52" s="211" customFormat="1" ht="23.25" customHeight="1" x14ac:dyDescent="0.25">
      <c r="A52" s="200" t="s">
        <v>128</v>
      </c>
      <c r="B52" s="233" t="s">
        <v>420</v>
      </c>
      <c r="C52" s="204"/>
      <c r="D52" s="40"/>
      <c r="E52" s="233"/>
      <c r="F52" s="233"/>
      <c r="G52" s="234">
        <f t="shared" ref="G52" si="32">SUM(G53:G56)</f>
        <v>81221</v>
      </c>
      <c r="H52" s="234">
        <f t="shared" ref="H52:X52" si="33">SUM(H53:H56)</f>
        <v>78600</v>
      </c>
      <c r="I52" s="234">
        <f t="shared" si="33"/>
        <v>2621</v>
      </c>
      <c r="J52" s="234">
        <f t="shared" si="33"/>
        <v>65600</v>
      </c>
      <c r="K52" s="234">
        <f t="shared" si="33"/>
        <v>57000</v>
      </c>
      <c r="L52" s="234">
        <f t="shared" si="33"/>
        <v>49000</v>
      </c>
      <c r="M52" s="234">
        <f t="shared" si="33"/>
        <v>8000</v>
      </c>
      <c r="N52" s="234">
        <f t="shared" si="33"/>
        <v>2621</v>
      </c>
      <c r="O52" s="234">
        <f t="shared" si="33"/>
        <v>21600</v>
      </c>
      <c r="P52" s="234">
        <f t="shared" si="33"/>
        <v>21600</v>
      </c>
      <c r="Q52" s="234">
        <f t="shared" si="33"/>
        <v>21600</v>
      </c>
      <c r="R52" s="234">
        <f t="shared" si="33"/>
        <v>0</v>
      </c>
      <c r="S52" s="234">
        <f t="shared" si="33"/>
        <v>0</v>
      </c>
      <c r="T52" s="234">
        <f t="shared" si="33"/>
        <v>15500</v>
      </c>
      <c r="U52" s="234">
        <f t="shared" si="33"/>
        <v>15500</v>
      </c>
      <c r="V52" s="234">
        <f t="shared" si="33"/>
        <v>49000</v>
      </c>
      <c r="W52" s="234">
        <f t="shared" si="33"/>
        <v>8000</v>
      </c>
      <c r="X52" s="234">
        <f t="shared" si="33"/>
        <v>0</v>
      </c>
      <c r="Y52" s="200"/>
      <c r="Z52" s="187"/>
      <c r="AZ52" s="198">
        <f t="shared" si="3"/>
        <v>19680</v>
      </c>
    </row>
    <row r="53" spans="1:52" s="186" customFormat="1" ht="33.75" x14ac:dyDescent="0.25">
      <c r="A53" s="204">
        <v>1</v>
      </c>
      <c r="B53" s="205" t="s">
        <v>583</v>
      </c>
      <c r="C53" s="204" t="s">
        <v>176</v>
      </c>
      <c r="D53" s="40" t="s">
        <v>584</v>
      </c>
      <c r="E53" s="235"/>
      <c r="F53" s="235"/>
      <c r="G53" s="236">
        <f>H53+I53</f>
        <v>27621</v>
      </c>
      <c r="H53" s="236">
        <v>25000</v>
      </c>
      <c r="I53" s="236">
        <v>2621</v>
      </c>
      <c r="J53" s="236">
        <f>K53</f>
        <v>19000</v>
      </c>
      <c r="K53" s="207">
        <f>L53+M53</f>
        <v>19000</v>
      </c>
      <c r="L53" s="236">
        <f>19000-8000</f>
        <v>11000</v>
      </c>
      <c r="M53" s="236">
        <v>8000</v>
      </c>
      <c r="N53" s="236">
        <v>2621</v>
      </c>
      <c r="O53" s="207">
        <f>P53+S53</f>
        <v>6000</v>
      </c>
      <c r="P53" s="207">
        <f>SUM(Q53:R53)</f>
        <v>6000</v>
      </c>
      <c r="Q53" s="207">
        <f>H53-K53</f>
        <v>6000</v>
      </c>
      <c r="R53" s="236"/>
      <c r="S53" s="236"/>
      <c r="T53" s="209">
        <f t="shared" si="12"/>
        <v>5000</v>
      </c>
      <c r="U53" s="210">
        <v>5000</v>
      </c>
      <c r="V53" s="236">
        <f>19000-8000</f>
        <v>11000</v>
      </c>
      <c r="W53" s="236">
        <v>8000</v>
      </c>
      <c r="X53" s="236"/>
      <c r="Y53" s="204"/>
      <c r="Z53" s="187" t="s">
        <v>540</v>
      </c>
      <c r="AZ53" s="198">
        <f t="shared" si="3"/>
        <v>5700</v>
      </c>
    </row>
    <row r="54" spans="1:52" ht="33.75" x14ac:dyDescent="0.25">
      <c r="A54" s="204">
        <v>2</v>
      </c>
      <c r="B54" s="205" t="s">
        <v>585</v>
      </c>
      <c r="C54" s="204" t="s">
        <v>176</v>
      </c>
      <c r="D54" s="40" t="s">
        <v>584</v>
      </c>
      <c r="E54" s="235"/>
      <c r="F54" s="235"/>
      <c r="G54" s="237">
        <f>H54+I54</f>
        <v>22000</v>
      </c>
      <c r="H54" s="237">
        <v>22000</v>
      </c>
      <c r="I54" s="237">
        <v>0</v>
      </c>
      <c r="J54" s="237">
        <f>L54+N54</f>
        <v>15000</v>
      </c>
      <c r="K54" s="207">
        <f t="shared" si="30"/>
        <v>15000</v>
      </c>
      <c r="L54" s="237">
        <v>15000</v>
      </c>
      <c r="M54" s="237"/>
      <c r="N54" s="237">
        <v>0</v>
      </c>
      <c r="O54" s="207">
        <f t="shared" si="27"/>
        <v>7000</v>
      </c>
      <c r="P54" s="207">
        <f t="shared" si="28"/>
        <v>7000</v>
      </c>
      <c r="Q54" s="207">
        <f t="shared" si="29"/>
        <v>7000</v>
      </c>
      <c r="R54" s="237"/>
      <c r="S54" s="237"/>
      <c r="T54" s="209">
        <f t="shared" si="12"/>
        <v>4000</v>
      </c>
      <c r="U54" s="210">
        <v>4000</v>
      </c>
      <c r="V54" s="237">
        <v>15000</v>
      </c>
      <c r="W54" s="237"/>
      <c r="X54" s="237">
        <v>0</v>
      </c>
      <c r="Y54" s="204"/>
      <c r="Z54" s="187" t="s">
        <v>544</v>
      </c>
      <c r="AZ54" s="198">
        <f t="shared" si="3"/>
        <v>4500</v>
      </c>
    </row>
    <row r="55" spans="1:52" s="186" customFormat="1" ht="38.25" customHeight="1" x14ac:dyDescent="0.25">
      <c r="A55" s="204">
        <v>3</v>
      </c>
      <c r="B55" s="205" t="s">
        <v>586</v>
      </c>
      <c r="C55" s="204" t="s">
        <v>176</v>
      </c>
      <c r="D55" s="40" t="s">
        <v>584</v>
      </c>
      <c r="E55" s="235"/>
      <c r="F55" s="235"/>
      <c r="G55" s="236">
        <v>13800</v>
      </c>
      <c r="H55" s="236">
        <v>13800</v>
      </c>
      <c r="I55" s="237">
        <v>0</v>
      </c>
      <c r="J55" s="236">
        <v>13800</v>
      </c>
      <c r="K55" s="207">
        <f t="shared" si="30"/>
        <v>10000</v>
      </c>
      <c r="L55" s="236">
        <v>10000</v>
      </c>
      <c r="M55" s="236"/>
      <c r="N55" s="237">
        <v>0</v>
      </c>
      <c r="O55" s="207">
        <f t="shared" si="27"/>
        <v>3800</v>
      </c>
      <c r="P55" s="207">
        <f t="shared" si="28"/>
        <v>3800</v>
      </c>
      <c r="Q55" s="207">
        <f t="shared" si="29"/>
        <v>3800</v>
      </c>
      <c r="R55" s="236"/>
      <c r="S55" s="237"/>
      <c r="T55" s="209">
        <f t="shared" si="12"/>
        <v>3000</v>
      </c>
      <c r="U55" s="210">
        <f t="shared" si="18"/>
        <v>3000</v>
      </c>
      <c r="V55" s="236">
        <v>10000</v>
      </c>
      <c r="W55" s="236"/>
      <c r="X55" s="237">
        <v>0</v>
      </c>
      <c r="Y55" s="204"/>
      <c r="Z55" s="186" t="s">
        <v>544</v>
      </c>
      <c r="AZ55" s="198">
        <f t="shared" si="3"/>
        <v>4140</v>
      </c>
    </row>
    <row r="56" spans="1:52" ht="38.25" customHeight="1" x14ac:dyDescent="0.25">
      <c r="A56" s="204">
        <v>4</v>
      </c>
      <c r="B56" s="205" t="s">
        <v>587</v>
      </c>
      <c r="C56" s="204" t="s">
        <v>176</v>
      </c>
      <c r="D56" s="40" t="s">
        <v>584</v>
      </c>
      <c r="E56" s="235"/>
      <c r="F56" s="235"/>
      <c r="G56" s="236">
        <v>17800</v>
      </c>
      <c r="H56" s="236">
        <v>17800</v>
      </c>
      <c r="I56" s="237"/>
      <c r="J56" s="236">
        <v>17800</v>
      </c>
      <c r="K56" s="207">
        <f>L56+M56</f>
        <v>13000</v>
      </c>
      <c r="L56" s="236">
        <v>13000</v>
      </c>
      <c r="M56" s="236"/>
      <c r="N56" s="237"/>
      <c r="O56" s="207">
        <f>P56+S56</f>
        <v>4800</v>
      </c>
      <c r="P56" s="207">
        <f>SUM(Q56:R56)</f>
        <v>4800</v>
      </c>
      <c r="Q56" s="207">
        <f>H56-K56</f>
        <v>4800</v>
      </c>
      <c r="R56" s="236"/>
      <c r="S56" s="237"/>
      <c r="T56" s="209">
        <f t="shared" si="12"/>
        <v>3500</v>
      </c>
      <c r="U56" s="210">
        <v>3500</v>
      </c>
      <c r="V56" s="236">
        <v>13000</v>
      </c>
      <c r="W56" s="236"/>
      <c r="X56" s="237"/>
      <c r="Y56" s="204"/>
      <c r="Z56" s="187" t="s">
        <v>560</v>
      </c>
      <c r="AZ56" s="198">
        <f t="shared" si="3"/>
        <v>5340</v>
      </c>
    </row>
    <row r="57" spans="1:52" s="211" customFormat="1" ht="24.75" customHeight="1" x14ac:dyDescent="0.25">
      <c r="A57" s="200" t="s">
        <v>133</v>
      </c>
      <c r="B57" s="233" t="s">
        <v>423</v>
      </c>
      <c r="C57" s="204"/>
      <c r="D57" s="40"/>
      <c r="E57" s="233"/>
      <c r="F57" s="233"/>
      <c r="G57" s="234">
        <f t="shared" ref="G57:X57" si="34">SUM(G58:G60)</f>
        <v>54600</v>
      </c>
      <c r="H57" s="234">
        <f t="shared" si="34"/>
        <v>54000</v>
      </c>
      <c r="I57" s="234">
        <f t="shared" si="34"/>
        <v>600</v>
      </c>
      <c r="J57" s="234">
        <f t="shared" si="34"/>
        <v>35800</v>
      </c>
      <c r="K57" s="234">
        <f t="shared" si="34"/>
        <v>35200</v>
      </c>
      <c r="L57" s="234">
        <f t="shared" si="34"/>
        <v>27200</v>
      </c>
      <c r="M57" s="234">
        <f t="shared" si="34"/>
        <v>8000</v>
      </c>
      <c r="N57" s="234">
        <f t="shared" si="34"/>
        <v>600</v>
      </c>
      <c r="O57" s="234">
        <f t="shared" si="34"/>
        <v>18800</v>
      </c>
      <c r="P57" s="234">
        <f t="shared" si="34"/>
        <v>18800</v>
      </c>
      <c r="Q57" s="234">
        <f t="shared" si="34"/>
        <v>18800</v>
      </c>
      <c r="R57" s="234">
        <f t="shared" si="34"/>
        <v>0</v>
      </c>
      <c r="S57" s="234">
        <f t="shared" si="34"/>
        <v>0</v>
      </c>
      <c r="T57" s="234">
        <f t="shared" si="34"/>
        <v>8200</v>
      </c>
      <c r="U57" s="234">
        <f t="shared" si="34"/>
        <v>8200</v>
      </c>
      <c r="V57" s="234">
        <f t="shared" si="34"/>
        <v>27200</v>
      </c>
      <c r="W57" s="234">
        <f t="shared" si="34"/>
        <v>8000</v>
      </c>
      <c r="X57" s="234">
        <f t="shared" si="34"/>
        <v>0</v>
      </c>
      <c r="Y57" s="200"/>
      <c r="Z57" s="187"/>
      <c r="AZ57" s="198">
        <f t="shared" si="3"/>
        <v>10740</v>
      </c>
    </row>
    <row r="58" spans="1:52" ht="38.25" customHeight="1" x14ac:dyDescent="0.25">
      <c r="A58" s="204">
        <v>1</v>
      </c>
      <c r="B58" s="205" t="s">
        <v>588</v>
      </c>
      <c r="C58" s="204" t="s">
        <v>172</v>
      </c>
      <c r="D58" s="40" t="s">
        <v>589</v>
      </c>
      <c r="E58" s="235"/>
      <c r="F58" s="235"/>
      <c r="G58" s="236">
        <f>H58+I58</f>
        <v>25000</v>
      </c>
      <c r="H58" s="236">
        <v>25000</v>
      </c>
      <c r="I58" s="237">
        <v>0</v>
      </c>
      <c r="J58" s="236">
        <v>16200</v>
      </c>
      <c r="K58" s="207">
        <f t="shared" si="30"/>
        <v>16200</v>
      </c>
      <c r="L58" s="236">
        <f>10000+1200</f>
        <v>11200</v>
      </c>
      <c r="M58" s="236">
        <v>5000</v>
      </c>
      <c r="N58" s="237">
        <v>0</v>
      </c>
      <c r="O58" s="207">
        <f t="shared" si="27"/>
        <v>8800</v>
      </c>
      <c r="P58" s="207">
        <f t="shared" si="28"/>
        <v>8800</v>
      </c>
      <c r="Q58" s="207">
        <f t="shared" si="29"/>
        <v>8800</v>
      </c>
      <c r="R58" s="236"/>
      <c r="S58" s="237"/>
      <c r="T58" s="209">
        <f t="shared" si="12"/>
        <v>3200</v>
      </c>
      <c r="U58" s="210">
        <v>3200</v>
      </c>
      <c r="V58" s="236">
        <f>10000+1200</f>
        <v>11200</v>
      </c>
      <c r="W58" s="236">
        <v>5000</v>
      </c>
      <c r="X58" s="237">
        <v>0</v>
      </c>
      <c r="Y58" s="204"/>
      <c r="Z58" s="187" t="s">
        <v>544</v>
      </c>
      <c r="AZ58" s="198">
        <f t="shared" si="3"/>
        <v>4860</v>
      </c>
    </row>
    <row r="59" spans="1:52" ht="38.25" customHeight="1" x14ac:dyDescent="0.25">
      <c r="A59" s="204">
        <v>2</v>
      </c>
      <c r="B59" s="205" t="s">
        <v>590</v>
      </c>
      <c r="C59" s="204" t="s">
        <v>172</v>
      </c>
      <c r="D59" s="40" t="s">
        <v>589</v>
      </c>
      <c r="E59" s="235"/>
      <c r="F59" s="235"/>
      <c r="G59" s="236">
        <f>H59+I59</f>
        <v>15000</v>
      </c>
      <c r="H59" s="236">
        <v>15000</v>
      </c>
      <c r="I59" s="237">
        <v>0</v>
      </c>
      <c r="J59" s="236">
        <f>K59</f>
        <v>10000</v>
      </c>
      <c r="K59" s="207">
        <f t="shared" si="30"/>
        <v>10000</v>
      </c>
      <c r="L59" s="236">
        <f>10000-3000</f>
        <v>7000</v>
      </c>
      <c r="M59" s="236">
        <v>3000</v>
      </c>
      <c r="N59" s="237">
        <v>0</v>
      </c>
      <c r="O59" s="207">
        <f t="shared" si="27"/>
        <v>5000</v>
      </c>
      <c r="P59" s="207">
        <f t="shared" si="28"/>
        <v>5000</v>
      </c>
      <c r="Q59" s="207">
        <f t="shared" si="29"/>
        <v>5000</v>
      </c>
      <c r="R59" s="236"/>
      <c r="S59" s="237"/>
      <c r="T59" s="209">
        <f t="shared" si="12"/>
        <v>3000</v>
      </c>
      <c r="U59" s="210">
        <f t="shared" si="18"/>
        <v>3000</v>
      </c>
      <c r="V59" s="236">
        <f>10000-3000</f>
        <v>7000</v>
      </c>
      <c r="W59" s="236">
        <v>3000</v>
      </c>
      <c r="X59" s="237">
        <v>0</v>
      </c>
      <c r="Y59" s="204"/>
      <c r="Z59" s="187" t="s">
        <v>544</v>
      </c>
      <c r="AZ59" s="198">
        <f t="shared" si="3"/>
        <v>3000</v>
      </c>
    </row>
    <row r="60" spans="1:52" ht="38.25" customHeight="1" x14ac:dyDescent="0.25">
      <c r="A60" s="204">
        <v>3</v>
      </c>
      <c r="B60" s="205" t="s">
        <v>591</v>
      </c>
      <c r="C60" s="204" t="s">
        <v>172</v>
      </c>
      <c r="D60" s="40" t="s">
        <v>589</v>
      </c>
      <c r="E60" s="235"/>
      <c r="F60" s="235"/>
      <c r="G60" s="236">
        <f>H60+I60</f>
        <v>14600</v>
      </c>
      <c r="H60" s="236">
        <v>14000</v>
      </c>
      <c r="I60" s="237">
        <v>600</v>
      </c>
      <c r="J60" s="236">
        <f>L60+N60</f>
        <v>9600</v>
      </c>
      <c r="K60" s="207">
        <f t="shared" si="30"/>
        <v>9000</v>
      </c>
      <c r="L60" s="236">
        <v>9000</v>
      </c>
      <c r="M60" s="236"/>
      <c r="N60" s="237">
        <v>600</v>
      </c>
      <c r="O60" s="207">
        <f t="shared" si="27"/>
        <v>5000</v>
      </c>
      <c r="P60" s="207">
        <f t="shared" si="28"/>
        <v>5000</v>
      </c>
      <c r="Q60" s="207">
        <f t="shared" si="29"/>
        <v>5000</v>
      </c>
      <c r="R60" s="236"/>
      <c r="S60" s="237"/>
      <c r="T60" s="209">
        <f t="shared" si="12"/>
        <v>2000</v>
      </c>
      <c r="U60" s="210">
        <v>2000</v>
      </c>
      <c r="V60" s="236">
        <v>9000</v>
      </c>
      <c r="W60" s="236"/>
      <c r="X60" s="237"/>
      <c r="Y60" s="204"/>
      <c r="Z60" s="187" t="s">
        <v>581</v>
      </c>
      <c r="AZ60" s="198">
        <f t="shared" si="3"/>
        <v>2880</v>
      </c>
    </row>
    <row r="61" spans="1:52" s="211" customFormat="1" ht="24.75" customHeight="1" x14ac:dyDescent="0.25">
      <c r="A61" s="200" t="s">
        <v>169</v>
      </c>
      <c r="B61" s="233" t="s">
        <v>426</v>
      </c>
      <c r="C61" s="204"/>
      <c r="D61" s="40"/>
      <c r="E61" s="233"/>
      <c r="F61" s="233"/>
      <c r="G61" s="234">
        <f>SUM(G62:G64)</f>
        <v>52000</v>
      </c>
      <c r="H61" s="234">
        <f t="shared" ref="H61:U61" si="35">SUM(H62:H64)</f>
        <v>47000</v>
      </c>
      <c r="I61" s="234">
        <f t="shared" si="35"/>
        <v>5000</v>
      </c>
      <c r="J61" s="234">
        <f t="shared" si="35"/>
        <v>32800</v>
      </c>
      <c r="K61" s="234">
        <f t="shared" si="35"/>
        <v>27800</v>
      </c>
      <c r="L61" s="234">
        <f t="shared" si="35"/>
        <v>7800</v>
      </c>
      <c r="M61" s="234">
        <f t="shared" si="35"/>
        <v>4000</v>
      </c>
      <c r="N61" s="234">
        <f t="shared" si="35"/>
        <v>9000</v>
      </c>
      <c r="O61" s="234">
        <f t="shared" si="35"/>
        <v>19200</v>
      </c>
      <c r="P61" s="234">
        <f t="shared" si="35"/>
        <v>19200</v>
      </c>
      <c r="Q61" s="234">
        <f t="shared" si="35"/>
        <v>19200</v>
      </c>
      <c r="R61" s="234">
        <f t="shared" si="35"/>
        <v>0</v>
      </c>
      <c r="S61" s="234">
        <f t="shared" si="35"/>
        <v>0</v>
      </c>
      <c r="T61" s="234">
        <f t="shared" si="35"/>
        <v>8900</v>
      </c>
      <c r="U61" s="234">
        <f t="shared" si="35"/>
        <v>8900</v>
      </c>
      <c r="V61" s="234">
        <f t="shared" ref="V61:X61" si="36">SUM(V62:V63)</f>
        <v>7800</v>
      </c>
      <c r="W61" s="234">
        <f t="shared" si="36"/>
        <v>0</v>
      </c>
      <c r="X61" s="234">
        <f t="shared" si="36"/>
        <v>0</v>
      </c>
      <c r="Y61" s="200"/>
      <c r="Z61" s="187"/>
      <c r="AZ61" s="198">
        <f t="shared" si="3"/>
        <v>9840</v>
      </c>
    </row>
    <row r="62" spans="1:52" ht="38.25" customHeight="1" x14ac:dyDescent="0.25">
      <c r="A62" s="204">
        <v>1</v>
      </c>
      <c r="B62" s="205" t="s">
        <v>592</v>
      </c>
      <c r="C62" s="204" t="s">
        <v>137</v>
      </c>
      <c r="D62" s="40" t="s">
        <v>593</v>
      </c>
      <c r="E62" s="235"/>
      <c r="F62" s="235"/>
      <c r="G62" s="236">
        <f>H62+I62</f>
        <v>9000</v>
      </c>
      <c r="H62" s="236">
        <v>7000</v>
      </c>
      <c r="I62" s="237">
        <v>2000</v>
      </c>
      <c r="J62" s="236">
        <f>K62+N62</f>
        <v>5000</v>
      </c>
      <c r="K62" s="207">
        <f>L62+M62</f>
        <v>3000</v>
      </c>
      <c r="L62" s="236">
        <v>3000</v>
      </c>
      <c r="M62" s="236"/>
      <c r="N62" s="237">
        <v>2000</v>
      </c>
      <c r="O62" s="207">
        <f>P62+S62</f>
        <v>4000</v>
      </c>
      <c r="P62" s="207">
        <f>SUM(Q62:R62)</f>
        <v>4000</v>
      </c>
      <c r="Q62" s="207">
        <f>H62-K62</f>
        <v>4000</v>
      </c>
      <c r="R62" s="236"/>
      <c r="S62" s="237"/>
      <c r="T62" s="209">
        <f t="shared" si="12"/>
        <v>1200</v>
      </c>
      <c r="U62" s="210">
        <v>1200</v>
      </c>
      <c r="V62" s="236">
        <v>3000</v>
      </c>
      <c r="W62" s="236"/>
      <c r="X62" s="237"/>
      <c r="Y62" s="204"/>
      <c r="Z62" s="187" t="s">
        <v>554</v>
      </c>
      <c r="AZ62" s="198">
        <f t="shared" si="3"/>
        <v>1500</v>
      </c>
    </row>
    <row r="63" spans="1:52" ht="38.25" customHeight="1" x14ac:dyDescent="0.25">
      <c r="A63" s="204">
        <v>2</v>
      </c>
      <c r="B63" s="205" t="s">
        <v>594</v>
      </c>
      <c r="C63" s="204" t="s">
        <v>137</v>
      </c>
      <c r="D63" s="40" t="s">
        <v>593</v>
      </c>
      <c r="E63" s="235"/>
      <c r="F63" s="235"/>
      <c r="G63" s="236">
        <f>H63+I63</f>
        <v>23000</v>
      </c>
      <c r="H63" s="236">
        <v>20000</v>
      </c>
      <c r="I63" s="237">
        <v>3000</v>
      </c>
      <c r="J63" s="236">
        <f>K63+N63</f>
        <v>7800</v>
      </c>
      <c r="K63" s="207">
        <f>L63+M63</f>
        <v>4800</v>
      </c>
      <c r="L63" s="236">
        <f>11000-3200-3000</f>
        <v>4800</v>
      </c>
      <c r="M63" s="236"/>
      <c r="N63" s="237">
        <v>3000</v>
      </c>
      <c r="O63" s="207">
        <f t="shared" ref="O63:O79" si="37">P63+S63</f>
        <v>15200</v>
      </c>
      <c r="P63" s="207">
        <f t="shared" ref="P63:P79" si="38">SUM(Q63:R63)</f>
        <v>15200</v>
      </c>
      <c r="Q63" s="207">
        <f t="shared" ref="Q63:Q79" si="39">H63-K63</f>
        <v>15200</v>
      </c>
      <c r="R63" s="236"/>
      <c r="S63" s="237"/>
      <c r="T63" s="209">
        <f t="shared" si="12"/>
        <v>3700</v>
      </c>
      <c r="U63" s="210">
        <v>3700</v>
      </c>
      <c r="V63" s="236">
        <f>11000-3200-3000</f>
        <v>4800</v>
      </c>
      <c r="W63" s="236"/>
      <c r="X63" s="237"/>
      <c r="Y63" s="204"/>
      <c r="Z63" s="187" t="s">
        <v>540</v>
      </c>
      <c r="AZ63" s="198">
        <f t="shared" si="3"/>
        <v>2340</v>
      </c>
    </row>
    <row r="64" spans="1:52" ht="38.25" customHeight="1" x14ac:dyDescent="0.25">
      <c r="A64" s="204">
        <v>3</v>
      </c>
      <c r="B64" s="205" t="s">
        <v>595</v>
      </c>
      <c r="C64" s="204" t="s">
        <v>258</v>
      </c>
      <c r="D64" s="40" t="s">
        <v>593</v>
      </c>
      <c r="E64" s="235" t="s">
        <v>573</v>
      </c>
      <c r="F64" s="235"/>
      <c r="G64" s="236">
        <v>20000</v>
      </c>
      <c r="H64" s="236">
        <v>20000</v>
      </c>
      <c r="I64" s="237"/>
      <c r="J64" s="236">
        <v>20000</v>
      </c>
      <c r="K64" s="207">
        <v>20000</v>
      </c>
      <c r="L64" s="236"/>
      <c r="M64" s="236">
        <f t="shared" ref="M64" si="40">N64</f>
        <v>4000</v>
      </c>
      <c r="N64" s="237">
        <v>4000</v>
      </c>
      <c r="O64" s="207"/>
      <c r="P64" s="207"/>
      <c r="Q64" s="207"/>
      <c r="R64" s="236"/>
      <c r="S64" s="237"/>
      <c r="T64" s="209">
        <f t="shared" si="12"/>
        <v>4000</v>
      </c>
      <c r="U64" s="210">
        <v>4000</v>
      </c>
      <c r="V64" s="236"/>
      <c r="W64" s="236"/>
      <c r="X64" s="237"/>
      <c r="Y64" s="204"/>
      <c r="AZ64" s="198"/>
    </row>
    <row r="65" spans="1:52" s="211" customFormat="1" ht="24" customHeight="1" x14ac:dyDescent="0.25">
      <c r="A65" s="200" t="s">
        <v>191</v>
      </c>
      <c r="B65" s="201" t="s">
        <v>441</v>
      </c>
      <c r="C65" s="204"/>
      <c r="D65" s="40"/>
      <c r="E65" s="201"/>
      <c r="F65" s="201"/>
      <c r="G65" s="234">
        <f t="shared" ref="G65:X65" si="41">SUM(G66:G70)</f>
        <v>67400</v>
      </c>
      <c r="H65" s="234">
        <f t="shared" si="41"/>
        <v>52400</v>
      </c>
      <c r="I65" s="234">
        <f t="shared" si="41"/>
        <v>15000</v>
      </c>
      <c r="J65" s="234">
        <f t="shared" si="41"/>
        <v>43200</v>
      </c>
      <c r="K65" s="234">
        <f t="shared" si="41"/>
        <v>28200</v>
      </c>
      <c r="L65" s="234">
        <f t="shared" si="41"/>
        <v>28200</v>
      </c>
      <c r="M65" s="234">
        <f t="shared" si="41"/>
        <v>0</v>
      </c>
      <c r="N65" s="234">
        <f t="shared" si="41"/>
        <v>15000</v>
      </c>
      <c r="O65" s="234">
        <f t="shared" si="41"/>
        <v>24200</v>
      </c>
      <c r="P65" s="234">
        <f t="shared" si="41"/>
        <v>24200</v>
      </c>
      <c r="Q65" s="234">
        <f t="shared" si="41"/>
        <v>24200</v>
      </c>
      <c r="R65" s="234">
        <f t="shared" si="41"/>
        <v>0</v>
      </c>
      <c r="S65" s="234">
        <f t="shared" si="41"/>
        <v>0</v>
      </c>
      <c r="T65" s="234">
        <f t="shared" si="41"/>
        <v>10350</v>
      </c>
      <c r="U65" s="234">
        <f t="shared" si="41"/>
        <v>10350</v>
      </c>
      <c r="V65" s="234">
        <f t="shared" si="41"/>
        <v>28200</v>
      </c>
      <c r="W65" s="234">
        <f t="shared" si="41"/>
        <v>0</v>
      </c>
      <c r="X65" s="234">
        <f t="shared" si="41"/>
        <v>0</v>
      </c>
      <c r="Y65" s="200"/>
      <c r="Z65" s="187"/>
      <c r="AZ65" s="238">
        <f t="shared" si="3"/>
        <v>12960</v>
      </c>
    </row>
    <row r="66" spans="1:52" ht="38.25" customHeight="1" x14ac:dyDescent="0.25">
      <c r="A66" s="204">
        <v>1</v>
      </c>
      <c r="B66" s="205" t="s">
        <v>596</v>
      </c>
      <c r="C66" s="204" t="s">
        <v>443</v>
      </c>
      <c r="D66" s="40" t="s">
        <v>597</v>
      </c>
      <c r="E66" s="235"/>
      <c r="F66" s="235"/>
      <c r="G66" s="236">
        <f t="shared" ref="G66:G70" si="42">H66+I66</f>
        <v>11000</v>
      </c>
      <c r="H66" s="236">
        <v>10000</v>
      </c>
      <c r="I66" s="237">
        <v>1000</v>
      </c>
      <c r="J66" s="236">
        <f t="shared" ref="J66:J70" si="43">K66+N66</f>
        <v>11000</v>
      </c>
      <c r="K66" s="207">
        <f t="shared" ref="K66:K70" si="44">L66+M66</f>
        <v>10000</v>
      </c>
      <c r="L66" s="236">
        <v>10000</v>
      </c>
      <c r="M66" s="236"/>
      <c r="N66" s="237">
        <v>1000</v>
      </c>
      <c r="O66" s="207">
        <f t="shared" si="37"/>
        <v>0</v>
      </c>
      <c r="P66" s="207">
        <f t="shared" si="38"/>
        <v>0</v>
      </c>
      <c r="Q66" s="207">
        <f t="shared" si="39"/>
        <v>0</v>
      </c>
      <c r="R66" s="236"/>
      <c r="S66" s="237"/>
      <c r="T66" s="209">
        <f t="shared" si="12"/>
        <v>600</v>
      </c>
      <c r="U66" s="210">
        <v>600</v>
      </c>
      <c r="V66" s="236">
        <v>10000</v>
      </c>
      <c r="W66" s="236"/>
      <c r="X66" s="237"/>
      <c r="Y66" s="204"/>
      <c r="Z66" s="187" t="s">
        <v>552</v>
      </c>
      <c r="AZ66" s="198">
        <f t="shared" si="3"/>
        <v>3300</v>
      </c>
    </row>
    <row r="67" spans="1:52" ht="38.25" customHeight="1" x14ac:dyDescent="0.25">
      <c r="A67" s="204">
        <v>2</v>
      </c>
      <c r="B67" s="205" t="s">
        <v>598</v>
      </c>
      <c r="C67" s="204" t="s">
        <v>341</v>
      </c>
      <c r="D67" s="40" t="s">
        <v>597</v>
      </c>
      <c r="E67" s="235"/>
      <c r="F67" s="235"/>
      <c r="G67" s="236">
        <f t="shared" si="42"/>
        <v>10000</v>
      </c>
      <c r="H67" s="236">
        <v>7000</v>
      </c>
      <c r="I67" s="237">
        <v>3000</v>
      </c>
      <c r="J67" s="236">
        <f t="shared" si="43"/>
        <v>7000</v>
      </c>
      <c r="K67" s="207">
        <f t="shared" si="44"/>
        <v>4000</v>
      </c>
      <c r="L67" s="236">
        <v>4000</v>
      </c>
      <c r="M67" s="236"/>
      <c r="N67" s="237">
        <v>3000</v>
      </c>
      <c r="O67" s="207">
        <f t="shared" si="37"/>
        <v>3000</v>
      </c>
      <c r="P67" s="207">
        <f t="shared" si="38"/>
        <v>3000</v>
      </c>
      <c r="Q67" s="207">
        <f t="shared" si="39"/>
        <v>3000</v>
      </c>
      <c r="R67" s="236"/>
      <c r="S67" s="237"/>
      <c r="T67" s="209">
        <f t="shared" si="12"/>
        <v>1500</v>
      </c>
      <c r="U67" s="210">
        <v>1500</v>
      </c>
      <c r="V67" s="236">
        <v>4000</v>
      </c>
      <c r="W67" s="236"/>
      <c r="X67" s="237"/>
      <c r="Y67" s="204"/>
      <c r="Z67" s="187" t="s">
        <v>544</v>
      </c>
      <c r="AZ67" s="198">
        <f t="shared" si="3"/>
        <v>2100</v>
      </c>
    </row>
    <row r="68" spans="1:52" ht="38.25" customHeight="1" x14ac:dyDescent="0.25">
      <c r="A68" s="204">
        <v>3</v>
      </c>
      <c r="B68" s="205" t="s">
        <v>599</v>
      </c>
      <c r="C68" s="204" t="s">
        <v>341</v>
      </c>
      <c r="D68" s="40" t="s">
        <v>597</v>
      </c>
      <c r="E68" s="235"/>
      <c r="F68" s="235"/>
      <c r="G68" s="236">
        <f t="shared" si="42"/>
        <v>14900</v>
      </c>
      <c r="H68" s="236">
        <v>12400</v>
      </c>
      <c r="I68" s="237">
        <v>2500</v>
      </c>
      <c r="J68" s="236">
        <f t="shared" si="43"/>
        <v>6700</v>
      </c>
      <c r="K68" s="207">
        <f t="shared" si="44"/>
        <v>4200</v>
      </c>
      <c r="L68" s="236">
        <v>4200</v>
      </c>
      <c r="M68" s="236"/>
      <c r="N68" s="237">
        <v>2500</v>
      </c>
      <c r="O68" s="207">
        <f t="shared" si="37"/>
        <v>8200</v>
      </c>
      <c r="P68" s="207">
        <f t="shared" si="38"/>
        <v>8200</v>
      </c>
      <c r="Q68" s="207">
        <f t="shared" si="39"/>
        <v>8200</v>
      </c>
      <c r="R68" s="236"/>
      <c r="S68" s="237"/>
      <c r="T68" s="209">
        <f t="shared" si="12"/>
        <v>3000</v>
      </c>
      <c r="U68" s="210">
        <v>3000</v>
      </c>
      <c r="V68" s="236">
        <v>4200</v>
      </c>
      <c r="W68" s="236"/>
      <c r="X68" s="237"/>
      <c r="Y68" s="204"/>
      <c r="Z68" s="187" t="s">
        <v>544</v>
      </c>
      <c r="AZ68" s="198">
        <f t="shared" si="3"/>
        <v>2010</v>
      </c>
    </row>
    <row r="69" spans="1:52" ht="38.25" customHeight="1" x14ac:dyDescent="0.25">
      <c r="A69" s="204">
        <v>4</v>
      </c>
      <c r="B69" s="205" t="s">
        <v>600</v>
      </c>
      <c r="C69" s="204" t="s">
        <v>341</v>
      </c>
      <c r="D69" s="40" t="s">
        <v>597</v>
      </c>
      <c r="E69" s="235"/>
      <c r="F69" s="235"/>
      <c r="G69" s="236">
        <f t="shared" si="42"/>
        <v>7500</v>
      </c>
      <c r="H69" s="236">
        <v>6000</v>
      </c>
      <c r="I69" s="237">
        <v>1500</v>
      </c>
      <c r="J69" s="236">
        <f t="shared" si="43"/>
        <v>4500</v>
      </c>
      <c r="K69" s="207">
        <f t="shared" si="44"/>
        <v>3000</v>
      </c>
      <c r="L69" s="236">
        <v>3000</v>
      </c>
      <c r="M69" s="236"/>
      <c r="N69" s="237">
        <v>1500</v>
      </c>
      <c r="O69" s="207">
        <f t="shared" si="37"/>
        <v>3000</v>
      </c>
      <c r="P69" s="207">
        <f t="shared" si="38"/>
        <v>3000</v>
      </c>
      <c r="Q69" s="207">
        <f t="shared" si="39"/>
        <v>3000</v>
      </c>
      <c r="R69" s="236"/>
      <c r="S69" s="237"/>
      <c r="T69" s="209">
        <f t="shared" si="12"/>
        <v>900</v>
      </c>
      <c r="U69" s="210">
        <f t="shared" si="18"/>
        <v>900</v>
      </c>
      <c r="V69" s="236">
        <v>3000</v>
      </c>
      <c r="W69" s="236"/>
      <c r="X69" s="237"/>
      <c r="Y69" s="204"/>
      <c r="Z69" s="187" t="s">
        <v>544</v>
      </c>
      <c r="AZ69" s="198">
        <f t="shared" si="3"/>
        <v>1350</v>
      </c>
    </row>
    <row r="70" spans="1:52" ht="38.25" customHeight="1" x14ac:dyDescent="0.25">
      <c r="A70" s="204">
        <v>5</v>
      </c>
      <c r="B70" s="205" t="s">
        <v>601</v>
      </c>
      <c r="C70" s="204" t="s">
        <v>341</v>
      </c>
      <c r="D70" s="40" t="s">
        <v>597</v>
      </c>
      <c r="E70" s="235"/>
      <c r="F70" s="235"/>
      <c r="G70" s="236">
        <f t="shared" si="42"/>
        <v>24000</v>
      </c>
      <c r="H70" s="236">
        <v>17000</v>
      </c>
      <c r="I70" s="237">
        <v>7000</v>
      </c>
      <c r="J70" s="236">
        <f t="shared" si="43"/>
        <v>14000</v>
      </c>
      <c r="K70" s="207">
        <f t="shared" si="44"/>
        <v>7000</v>
      </c>
      <c r="L70" s="236">
        <f>10000-3000</f>
        <v>7000</v>
      </c>
      <c r="M70" s="236"/>
      <c r="N70" s="237">
        <v>7000</v>
      </c>
      <c r="O70" s="207">
        <f t="shared" si="37"/>
        <v>10000</v>
      </c>
      <c r="P70" s="207">
        <f t="shared" si="38"/>
        <v>10000</v>
      </c>
      <c r="Q70" s="207">
        <f t="shared" si="39"/>
        <v>10000</v>
      </c>
      <c r="R70" s="236"/>
      <c r="S70" s="237"/>
      <c r="T70" s="209">
        <f t="shared" si="12"/>
        <v>4350</v>
      </c>
      <c r="U70" s="210">
        <v>4350</v>
      </c>
      <c r="V70" s="236">
        <f>10000-3000</f>
        <v>7000</v>
      </c>
      <c r="W70" s="236"/>
      <c r="X70" s="237"/>
      <c r="Y70" s="204"/>
      <c r="Z70" s="187" t="s">
        <v>533</v>
      </c>
      <c r="AZ70" s="198">
        <f t="shared" si="3"/>
        <v>4200</v>
      </c>
    </row>
    <row r="71" spans="1:52" s="211" customFormat="1" ht="22.5" customHeight="1" x14ac:dyDescent="0.25">
      <c r="A71" s="200" t="s">
        <v>201</v>
      </c>
      <c r="B71" s="233" t="s">
        <v>457</v>
      </c>
      <c r="C71" s="204"/>
      <c r="D71" s="40"/>
      <c r="E71" s="233"/>
      <c r="F71" s="233"/>
      <c r="G71" s="234">
        <f t="shared" ref="G71:Y71" si="45">SUM(G72:G74)</f>
        <v>62905</v>
      </c>
      <c r="H71" s="234">
        <f t="shared" si="45"/>
        <v>49220</v>
      </c>
      <c r="I71" s="234">
        <f t="shared" si="45"/>
        <v>13685</v>
      </c>
      <c r="J71" s="234">
        <f t="shared" si="45"/>
        <v>38705</v>
      </c>
      <c r="K71" s="234">
        <f t="shared" si="45"/>
        <v>25020</v>
      </c>
      <c r="L71" s="234">
        <f t="shared" si="45"/>
        <v>25020</v>
      </c>
      <c r="M71" s="234">
        <f t="shared" si="45"/>
        <v>0</v>
      </c>
      <c r="N71" s="234">
        <f t="shared" si="45"/>
        <v>13685</v>
      </c>
      <c r="O71" s="234">
        <f t="shared" si="45"/>
        <v>24200</v>
      </c>
      <c r="P71" s="234">
        <f t="shared" si="45"/>
        <v>24200</v>
      </c>
      <c r="Q71" s="234">
        <f t="shared" si="45"/>
        <v>24200</v>
      </c>
      <c r="R71" s="234">
        <f t="shared" si="45"/>
        <v>0</v>
      </c>
      <c r="S71" s="234">
        <f t="shared" si="45"/>
        <v>0</v>
      </c>
      <c r="T71" s="234">
        <f t="shared" si="45"/>
        <v>4600</v>
      </c>
      <c r="U71" s="234">
        <f t="shared" si="45"/>
        <v>4600</v>
      </c>
      <c r="V71" s="234">
        <f t="shared" si="45"/>
        <v>25020</v>
      </c>
      <c r="W71" s="234">
        <f t="shared" si="45"/>
        <v>0</v>
      </c>
      <c r="X71" s="234">
        <f t="shared" si="45"/>
        <v>0</v>
      </c>
      <c r="Y71" s="234">
        <f t="shared" si="45"/>
        <v>0</v>
      </c>
      <c r="Z71" s="187"/>
      <c r="AZ71" s="238">
        <f t="shared" si="3"/>
        <v>11611.5</v>
      </c>
    </row>
    <row r="72" spans="1:52" ht="38.25" customHeight="1" x14ac:dyDescent="0.25">
      <c r="A72" s="204">
        <v>1</v>
      </c>
      <c r="B72" s="205" t="s">
        <v>602</v>
      </c>
      <c r="C72" s="204" t="s">
        <v>346</v>
      </c>
      <c r="D72" s="40" t="s">
        <v>603</v>
      </c>
      <c r="E72" s="235"/>
      <c r="F72" s="235"/>
      <c r="G72" s="236">
        <f>H72+I72</f>
        <v>14950</v>
      </c>
      <c r="H72" s="236">
        <v>12500</v>
      </c>
      <c r="I72" s="237">
        <v>2450</v>
      </c>
      <c r="J72" s="236">
        <f>L72+N72</f>
        <v>14950</v>
      </c>
      <c r="K72" s="207">
        <f t="shared" ref="K72:K78" si="46">L72+M72</f>
        <v>12500</v>
      </c>
      <c r="L72" s="236">
        <v>12500</v>
      </c>
      <c r="M72" s="236"/>
      <c r="N72" s="237">
        <v>2450</v>
      </c>
      <c r="O72" s="207">
        <f>P72+S72</f>
        <v>0</v>
      </c>
      <c r="P72" s="207">
        <f>SUM(Q72:R72)</f>
        <v>0</v>
      </c>
      <c r="Q72" s="207">
        <f>H72-K72</f>
        <v>0</v>
      </c>
      <c r="R72" s="236"/>
      <c r="S72" s="237"/>
      <c r="T72" s="209">
        <f t="shared" si="12"/>
        <v>600</v>
      </c>
      <c r="U72" s="210">
        <v>600</v>
      </c>
      <c r="V72" s="236">
        <v>12500</v>
      </c>
      <c r="W72" s="236"/>
      <c r="X72" s="237"/>
      <c r="Y72" s="204"/>
      <c r="Z72" s="187" t="s">
        <v>552</v>
      </c>
      <c r="AZ72" s="198">
        <f t="shared" si="3"/>
        <v>4485</v>
      </c>
    </row>
    <row r="73" spans="1:52" ht="38.25" customHeight="1" x14ac:dyDescent="0.25">
      <c r="A73" s="204">
        <v>2</v>
      </c>
      <c r="B73" s="205" t="s">
        <v>604</v>
      </c>
      <c r="C73" s="204" t="s">
        <v>346</v>
      </c>
      <c r="D73" s="40" t="s">
        <v>603</v>
      </c>
      <c r="E73" s="235"/>
      <c r="F73" s="235"/>
      <c r="G73" s="236">
        <f>H73+I73</f>
        <v>22955</v>
      </c>
      <c r="H73" s="236">
        <v>19000</v>
      </c>
      <c r="I73" s="237">
        <v>3955</v>
      </c>
      <c r="J73" s="236">
        <f>L73+N73</f>
        <v>10955</v>
      </c>
      <c r="K73" s="207">
        <f t="shared" si="46"/>
        <v>7000</v>
      </c>
      <c r="L73" s="236">
        <f>10000-3500+500</f>
        <v>7000</v>
      </c>
      <c r="M73" s="236"/>
      <c r="N73" s="237">
        <v>3955</v>
      </c>
      <c r="O73" s="207">
        <f t="shared" si="37"/>
        <v>12000</v>
      </c>
      <c r="P73" s="207">
        <f t="shared" si="38"/>
        <v>12000</v>
      </c>
      <c r="Q73" s="207">
        <f t="shared" si="39"/>
        <v>12000</v>
      </c>
      <c r="R73" s="236"/>
      <c r="S73" s="237"/>
      <c r="T73" s="209">
        <f t="shared" si="12"/>
        <v>2500</v>
      </c>
      <c r="U73" s="210">
        <v>2500</v>
      </c>
      <c r="V73" s="236">
        <f>10000-3500+500</f>
        <v>7000</v>
      </c>
      <c r="W73" s="236"/>
      <c r="X73" s="237"/>
      <c r="Y73" s="204"/>
      <c r="Z73" s="187" t="s">
        <v>533</v>
      </c>
      <c r="AZ73" s="198">
        <f t="shared" si="3"/>
        <v>3286.5</v>
      </c>
    </row>
    <row r="74" spans="1:52" ht="38.25" customHeight="1" x14ac:dyDescent="0.25">
      <c r="A74" s="204">
        <v>3</v>
      </c>
      <c r="B74" s="205" t="s">
        <v>605</v>
      </c>
      <c r="C74" s="204" t="s">
        <v>346</v>
      </c>
      <c r="D74" s="40" t="s">
        <v>603</v>
      </c>
      <c r="E74" s="235"/>
      <c r="F74" s="235"/>
      <c r="G74" s="236">
        <f>H74+I74</f>
        <v>25000</v>
      </c>
      <c r="H74" s="236">
        <v>17720</v>
      </c>
      <c r="I74" s="237">
        <v>7280</v>
      </c>
      <c r="J74" s="236">
        <f>L74+N74</f>
        <v>12800</v>
      </c>
      <c r="K74" s="207">
        <f t="shared" si="46"/>
        <v>5520</v>
      </c>
      <c r="L74" s="236">
        <f>14000-6980-1500</f>
        <v>5520</v>
      </c>
      <c r="M74" s="236"/>
      <c r="N74" s="237">
        <v>7280</v>
      </c>
      <c r="O74" s="207">
        <f t="shared" si="37"/>
        <v>12200</v>
      </c>
      <c r="P74" s="207">
        <f t="shared" si="38"/>
        <v>12200</v>
      </c>
      <c r="Q74" s="207">
        <f t="shared" si="39"/>
        <v>12200</v>
      </c>
      <c r="R74" s="236"/>
      <c r="S74" s="237"/>
      <c r="T74" s="209">
        <f t="shared" si="12"/>
        <v>1500</v>
      </c>
      <c r="U74" s="210">
        <v>1500</v>
      </c>
      <c r="V74" s="236">
        <f>14000-6980-1500</f>
        <v>5520</v>
      </c>
      <c r="W74" s="236"/>
      <c r="X74" s="237"/>
      <c r="Y74" s="204"/>
      <c r="Z74" s="187" t="s">
        <v>540</v>
      </c>
      <c r="AZ74" s="198">
        <f t="shared" si="3"/>
        <v>3840</v>
      </c>
    </row>
    <row r="75" spans="1:52" s="211" customFormat="1" ht="21.75" customHeight="1" x14ac:dyDescent="0.25">
      <c r="A75" s="200" t="s">
        <v>211</v>
      </c>
      <c r="B75" s="233" t="s">
        <v>466</v>
      </c>
      <c r="C75" s="204"/>
      <c r="D75" s="40"/>
      <c r="E75" s="233"/>
      <c r="F75" s="233"/>
      <c r="G75" s="234">
        <f t="shared" ref="G75:X75" si="47">SUM(G76:G79)</f>
        <v>48600</v>
      </c>
      <c r="H75" s="234">
        <f t="shared" si="47"/>
        <v>48600</v>
      </c>
      <c r="I75" s="234">
        <f t="shared" si="47"/>
        <v>0</v>
      </c>
      <c r="J75" s="234">
        <f t="shared" si="47"/>
        <v>25600</v>
      </c>
      <c r="K75" s="234">
        <f t="shared" si="47"/>
        <v>25600</v>
      </c>
      <c r="L75" s="234">
        <f t="shared" si="47"/>
        <v>20496</v>
      </c>
      <c r="M75" s="234">
        <f t="shared" si="47"/>
        <v>5104</v>
      </c>
      <c r="N75" s="234">
        <f t="shared" si="47"/>
        <v>0</v>
      </c>
      <c r="O75" s="234">
        <f t="shared" si="47"/>
        <v>23000</v>
      </c>
      <c r="P75" s="234">
        <f t="shared" si="47"/>
        <v>23000</v>
      </c>
      <c r="Q75" s="234">
        <f t="shared" si="47"/>
        <v>23000</v>
      </c>
      <c r="R75" s="234">
        <f t="shared" si="47"/>
        <v>0</v>
      </c>
      <c r="S75" s="234">
        <f t="shared" si="47"/>
        <v>0</v>
      </c>
      <c r="T75" s="234">
        <f t="shared" si="47"/>
        <v>5800</v>
      </c>
      <c r="U75" s="234">
        <f t="shared" si="47"/>
        <v>5800</v>
      </c>
      <c r="V75" s="234">
        <f t="shared" si="47"/>
        <v>20496</v>
      </c>
      <c r="W75" s="234">
        <f t="shared" si="47"/>
        <v>5104</v>
      </c>
      <c r="X75" s="234">
        <f t="shared" si="47"/>
        <v>0</v>
      </c>
      <c r="Y75" s="200"/>
      <c r="Z75" s="239"/>
      <c r="AA75" s="234">
        <f>SUM(AA76:AA79)</f>
        <v>0</v>
      </c>
      <c r="AB75" s="215">
        <f>K75-115000</f>
        <v>-89400</v>
      </c>
      <c r="AD75" s="215">
        <f>H75/20*100</f>
        <v>243000</v>
      </c>
      <c r="AE75" s="215">
        <f>H75/20%</f>
        <v>243000</v>
      </c>
      <c r="AZ75" s="238">
        <f t="shared" si="3"/>
        <v>7680</v>
      </c>
    </row>
    <row r="76" spans="1:52" ht="38.25" customHeight="1" x14ac:dyDescent="0.25">
      <c r="A76" s="204">
        <v>1</v>
      </c>
      <c r="B76" s="205" t="s">
        <v>606</v>
      </c>
      <c r="C76" s="204" t="s">
        <v>188</v>
      </c>
      <c r="D76" s="40" t="s">
        <v>607</v>
      </c>
      <c r="E76" s="235"/>
      <c r="F76" s="235"/>
      <c r="G76" s="236">
        <f>H76+I76</f>
        <v>14800</v>
      </c>
      <c r="H76" s="236">
        <v>14800</v>
      </c>
      <c r="I76" s="237"/>
      <c r="J76" s="236">
        <f>K76+N76</f>
        <v>9300</v>
      </c>
      <c r="K76" s="207">
        <f>L76+M76</f>
        <v>9300</v>
      </c>
      <c r="L76" s="236">
        <f>7000-1800-1500+1600</f>
        <v>5300</v>
      </c>
      <c r="M76" s="236">
        <v>4000</v>
      </c>
      <c r="N76" s="237"/>
      <c r="O76" s="207">
        <f>P76+S76</f>
        <v>5500</v>
      </c>
      <c r="P76" s="207">
        <f>SUM(Q76:R76)</f>
        <v>5500</v>
      </c>
      <c r="Q76" s="207">
        <f>H76-K76</f>
        <v>5500</v>
      </c>
      <c r="R76" s="236"/>
      <c r="S76" s="237"/>
      <c r="T76" s="209">
        <f t="shared" si="12"/>
        <v>1800</v>
      </c>
      <c r="U76" s="210">
        <v>1800</v>
      </c>
      <c r="V76" s="236">
        <f>7000-1800-1500+1600</f>
        <v>5300</v>
      </c>
      <c r="W76" s="236">
        <v>4000</v>
      </c>
      <c r="X76" s="237"/>
      <c r="Y76" s="204"/>
      <c r="Z76" s="187" t="s">
        <v>544</v>
      </c>
      <c r="AZ76" s="198">
        <f t="shared" si="3"/>
        <v>2790</v>
      </c>
    </row>
    <row r="77" spans="1:52" ht="38.25" customHeight="1" x14ac:dyDescent="0.25">
      <c r="A77" s="204">
        <v>2</v>
      </c>
      <c r="B77" s="205" t="s">
        <v>608</v>
      </c>
      <c r="C77" s="204" t="s">
        <v>188</v>
      </c>
      <c r="D77" s="40" t="s">
        <v>607</v>
      </c>
      <c r="E77" s="235"/>
      <c r="F77" s="235"/>
      <c r="G77" s="236">
        <f>H77+I77</f>
        <v>13000</v>
      </c>
      <c r="H77" s="236">
        <v>13000</v>
      </c>
      <c r="I77" s="237"/>
      <c r="J77" s="236">
        <f>K77+N77</f>
        <v>6400</v>
      </c>
      <c r="K77" s="207">
        <v>6400</v>
      </c>
      <c r="L77" s="236">
        <v>6400</v>
      </c>
      <c r="M77" s="236"/>
      <c r="N77" s="237"/>
      <c r="O77" s="207">
        <f t="shared" si="37"/>
        <v>6600</v>
      </c>
      <c r="P77" s="207">
        <f t="shared" si="38"/>
        <v>6600</v>
      </c>
      <c r="Q77" s="207">
        <f t="shared" si="39"/>
        <v>6600</v>
      </c>
      <c r="R77" s="236"/>
      <c r="S77" s="237"/>
      <c r="T77" s="209">
        <f t="shared" si="12"/>
        <v>1500</v>
      </c>
      <c r="U77" s="210">
        <v>1500</v>
      </c>
      <c r="V77" s="236">
        <v>6400</v>
      </c>
      <c r="W77" s="236"/>
      <c r="X77" s="237"/>
      <c r="Y77" s="204"/>
      <c r="Z77" s="187" t="s">
        <v>552</v>
      </c>
      <c r="AZ77" s="198">
        <f t="shared" ref="AZ77:AZ79" si="48">J77*0.3</f>
        <v>1920</v>
      </c>
    </row>
    <row r="78" spans="1:52" ht="38.25" customHeight="1" x14ac:dyDescent="0.25">
      <c r="A78" s="204">
        <v>3</v>
      </c>
      <c r="B78" s="205" t="s">
        <v>609</v>
      </c>
      <c r="C78" s="204" t="s">
        <v>188</v>
      </c>
      <c r="D78" s="40" t="s">
        <v>607</v>
      </c>
      <c r="E78" s="235"/>
      <c r="F78" s="235"/>
      <c r="G78" s="236">
        <f>H78+I78</f>
        <v>6800</v>
      </c>
      <c r="H78" s="236">
        <v>6800</v>
      </c>
      <c r="I78" s="237"/>
      <c r="J78" s="236">
        <f>K78+N78</f>
        <v>3900</v>
      </c>
      <c r="K78" s="207">
        <f t="shared" si="46"/>
        <v>3900</v>
      </c>
      <c r="L78" s="236">
        <v>3900</v>
      </c>
      <c r="M78" s="236"/>
      <c r="N78" s="237"/>
      <c r="O78" s="207">
        <f t="shared" si="37"/>
        <v>2900</v>
      </c>
      <c r="P78" s="207">
        <f t="shared" si="38"/>
        <v>2900</v>
      </c>
      <c r="Q78" s="207">
        <f t="shared" si="39"/>
        <v>2900</v>
      </c>
      <c r="R78" s="236"/>
      <c r="S78" s="237"/>
      <c r="T78" s="209">
        <f t="shared" si="12"/>
        <v>1000</v>
      </c>
      <c r="U78" s="210">
        <v>1000</v>
      </c>
      <c r="V78" s="236">
        <v>3900</v>
      </c>
      <c r="W78" s="236"/>
      <c r="X78" s="237"/>
      <c r="Y78" s="204"/>
      <c r="Z78" s="187" t="s">
        <v>581</v>
      </c>
      <c r="AB78" s="187" t="s">
        <v>610</v>
      </c>
      <c r="AZ78" s="198">
        <f t="shared" si="48"/>
        <v>1170</v>
      </c>
    </row>
    <row r="79" spans="1:52" ht="38.25" customHeight="1" x14ac:dyDescent="0.25">
      <c r="A79" s="204">
        <v>4</v>
      </c>
      <c r="B79" s="205" t="s">
        <v>611</v>
      </c>
      <c r="C79" s="204" t="s">
        <v>188</v>
      </c>
      <c r="D79" s="40" t="s">
        <v>607</v>
      </c>
      <c r="E79" s="235"/>
      <c r="F79" s="235"/>
      <c r="G79" s="236">
        <f>H79+I79</f>
        <v>14000</v>
      </c>
      <c r="H79" s="236">
        <v>14000</v>
      </c>
      <c r="I79" s="237"/>
      <c r="J79" s="236">
        <f>K79+N79</f>
        <v>6000</v>
      </c>
      <c r="K79" s="207">
        <v>6000</v>
      </c>
      <c r="L79" s="236">
        <f>10000-1104-4000</f>
        <v>4896</v>
      </c>
      <c r="M79" s="236">
        <v>1104</v>
      </c>
      <c r="N79" s="237"/>
      <c r="O79" s="207">
        <f t="shared" si="37"/>
        <v>8000</v>
      </c>
      <c r="P79" s="207">
        <f t="shared" si="38"/>
        <v>8000</v>
      </c>
      <c r="Q79" s="207">
        <f t="shared" si="39"/>
        <v>8000</v>
      </c>
      <c r="R79" s="236"/>
      <c r="S79" s="237"/>
      <c r="T79" s="209">
        <f t="shared" si="12"/>
        <v>1500</v>
      </c>
      <c r="U79" s="210">
        <v>1500</v>
      </c>
      <c r="V79" s="236">
        <f>10000-1104-4000</f>
        <v>4896</v>
      </c>
      <c r="W79" s="236">
        <v>1104</v>
      </c>
      <c r="X79" s="237"/>
      <c r="Y79" s="204"/>
      <c r="Z79" s="187" t="s">
        <v>540</v>
      </c>
      <c r="AZ79" s="198">
        <f t="shared" si="48"/>
        <v>1800</v>
      </c>
    </row>
    <row r="80" spans="1:52" s="211" customFormat="1" ht="23.25" customHeight="1" x14ac:dyDescent="0.25">
      <c r="A80" s="200" t="s">
        <v>216</v>
      </c>
      <c r="B80" s="233" t="s">
        <v>612</v>
      </c>
      <c r="C80" s="204"/>
      <c r="D80" s="40"/>
      <c r="E80" s="233"/>
      <c r="F80" s="233"/>
      <c r="G80" s="234">
        <f>SUM(G81:G82)</f>
        <v>31738</v>
      </c>
      <c r="H80" s="234">
        <f t="shared" ref="H80:X80" si="49">SUM(H81:H82)</f>
        <v>31738</v>
      </c>
      <c r="I80" s="234">
        <f t="shared" si="49"/>
        <v>0</v>
      </c>
      <c r="J80" s="234">
        <f t="shared" si="49"/>
        <v>24348</v>
      </c>
      <c r="K80" s="234">
        <f t="shared" si="49"/>
        <v>24348</v>
      </c>
      <c r="L80" s="234">
        <f t="shared" si="49"/>
        <v>0</v>
      </c>
      <c r="M80" s="234">
        <f t="shared" si="49"/>
        <v>0</v>
      </c>
      <c r="N80" s="234">
        <f t="shared" si="49"/>
        <v>0</v>
      </c>
      <c r="O80" s="234">
        <f t="shared" si="49"/>
        <v>7390</v>
      </c>
      <c r="P80" s="234">
        <f t="shared" si="49"/>
        <v>0</v>
      </c>
      <c r="Q80" s="234">
        <f t="shared" si="49"/>
        <v>0</v>
      </c>
      <c r="R80" s="234">
        <f t="shared" si="49"/>
        <v>0</v>
      </c>
      <c r="S80" s="234">
        <f t="shared" si="49"/>
        <v>0</v>
      </c>
      <c r="T80" s="234">
        <f t="shared" si="49"/>
        <v>4900</v>
      </c>
      <c r="U80" s="234">
        <f t="shared" si="49"/>
        <v>4900</v>
      </c>
      <c r="V80" s="234">
        <f t="shared" si="49"/>
        <v>0</v>
      </c>
      <c r="W80" s="234">
        <f t="shared" si="49"/>
        <v>0</v>
      </c>
      <c r="X80" s="234">
        <f t="shared" si="49"/>
        <v>0</v>
      </c>
      <c r="Y80" s="200"/>
      <c r="Z80" s="239"/>
      <c r="AA80" s="234"/>
      <c r="AB80" s="215"/>
      <c r="AD80" s="215"/>
      <c r="AE80" s="215"/>
      <c r="AZ80" s="238"/>
    </row>
    <row r="81" spans="1:52" s="186" customFormat="1" ht="36" customHeight="1" x14ac:dyDescent="0.25">
      <c r="A81" s="204">
        <v>1</v>
      </c>
      <c r="B81" s="205" t="s">
        <v>613</v>
      </c>
      <c r="C81" s="204"/>
      <c r="D81" s="41" t="s">
        <v>614</v>
      </c>
      <c r="E81" s="235"/>
      <c r="F81" s="235"/>
      <c r="G81" s="237">
        <v>10000</v>
      </c>
      <c r="H81" s="207">
        <v>10000</v>
      </c>
      <c r="I81" s="207"/>
      <c r="J81" s="237">
        <v>10000</v>
      </c>
      <c r="K81" s="207">
        <v>10000</v>
      </c>
      <c r="L81" s="207"/>
      <c r="M81" s="207"/>
      <c r="N81" s="207"/>
      <c r="O81" s="207">
        <f t="shared" ref="O81:O85" si="50">H81-K81</f>
        <v>0</v>
      </c>
      <c r="P81" s="207"/>
      <c r="Q81" s="207"/>
      <c r="R81" s="207"/>
      <c r="S81" s="207"/>
      <c r="T81" s="207">
        <f t="shared" si="12"/>
        <v>2000</v>
      </c>
      <c r="U81" s="240">
        <f>K81*0.2</f>
        <v>2000</v>
      </c>
      <c r="V81" s="207"/>
      <c r="W81" s="207"/>
      <c r="X81" s="207"/>
      <c r="Y81" s="204"/>
      <c r="Z81" s="239"/>
      <c r="AZ81" s="238"/>
    </row>
    <row r="82" spans="1:52" s="186" customFormat="1" ht="45" customHeight="1" x14ac:dyDescent="0.25">
      <c r="A82" s="204">
        <v>2</v>
      </c>
      <c r="B82" s="205" t="s">
        <v>615</v>
      </c>
      <c r="C82" s="204" t="s">
        <v>84</v>
      </c>
      <c r="D82" s="73" t="s">
        <v>616</v>
      </c>
      <c r="E82" s="235"/>
      <c r="F82" s="235"/>
      <c r="G82" s="237">
        <v>21738</v>
      </c>
      <c r="H82" s="207">
        <v>21738</v>
      </c>
      <c r="I82" s="207"/>
      <c r="J82" s="237">
        <v>14348</v>
      </c>
      <c r="K82" s="207">
        <v>14348</v>
      </c>
      <c r="L82" s="207"/>
      <c r="M82" s="207"/>
      <c r="N82" s="207"/>
      <c r="O82" s="207">
        <f t="shared" si="50"/>
        <v>7390</v>
      </c>
      <c r="P82" s="207"/>
      <c r="Q82" s="207"/>
      <c r="R82" s="207"/>
      <c r="S82" s="207"/>
      <c r="T82" s="207">
        <f t="shared" si="12"/>
        <v>2900</v>
      </c>
      <c r="U82" s="240">
        <v>2900</v>
      </c>
      <c r="V82" s="207"/>
      <c r="W82" s="207"/>
      <c r="X82" s="207"/>
      <c r="Y82" s="204"/>
      <c r="Z82" s="239"/>
      <c r="AZ82" s="238"/>
    </row>
    <row r="83" spans="1:52" s="211" customFormat="1" ht="24.75" customHeight="1" x14ac:dyDescent="0.25">
      <c r="A83" s="200" t="s">
        <v>220</v>
      </c>
      <c r="B83" s="233" t="s">
        <v>484</v>
      </c>
      <c r="C83" s="204"/>
      <c r="D83" s="40"/>
      <c r="E83" s="233"/>
      <c r="F83" s="233"/>
      <c r="G83" s="234">
        <f t="shared" ref="G83:X83" si="51">SUM(G84:G85)</f>
        <v>20000</v>
      </c>
      <c r="H83" s="234">
        <f t="shared" si="51"/>
        <v>20000</v>
      </c>
      <c r="I83" s="234">
        <f t="shared" si="51"/>
        <v>0</v>
      </c>
      <c r="J83" s="234">
        <f t="shared" si="51"/>
        <v>16000</v>
      </c>
      <c r="K83" s="234">
        <f t="shared" si="51"/>
        <v>16000</v>
      </c>
      <c r="L83" s="234">
        <f t="shared" si="51"/>
        <v>0</v>
      </c>
      <c r="M83" s="234">
        <f t="shared" si="51"/>
        <v>0</v>
      </c>
      <c r="N83" s="234">
        <f t="shared" si="51"/>
        <v>0</v>
      </c>
      <c r="O83" s="234">
        <f t="shared" si="51"/>
        <v>4000</v>
      </c>
      <c r="P83" s="234">
        <f t="shared" si="51"/>
        <v>0</v>
      </c>
      <c r="Q83" s="234">
        <f t="shared" si="51"/>
        <v>0</v>
      </c>
      <c r="R83" s="234">
        <f t="shared" si="51"/>
        <v>0</v>
      </c>
      <c r="S83" s="234">
        <f t="shared" si="51"/>
        <v>0</v>
      </c>
      <c r="T83" s="234">
        <f t="shared" si="51"/>
        <v>3500</v>
      </c>
      <c r="U83" s="234">
        <f t="shared" si="51"/>
        <v>3500</v>
      </c>
      <c r="V83" s="234">
        <f t="shared" si="51"/>
        <v>0</v>
      </c>
      <c r="W83" s="234">
        <f t="shared" si="51"/>
        <v>0</v>
      </c>
      <c r="X83" s="234">
        <f t="shared" si="51"/>
        <v>0</v>
      </c>
      <c r="Y83" s="200"/>
      <c r="Z83" s="239"/>
      <c r="AA83" s="234"/>
      <c r="AB83" s="215"/>
      <c r="AD83" s="215"/>
      <c r="AE83" s="215"/>
      <c r="AZ83" s="238"/>
    </row>
    <row r="84" spans="1:52" s="186" customFormat="1" ht="29.25" customHeight="1" x14ac:dyDescent="0.25">
      <c r="A84" s="204">
        <v>1</v>
      </c>
      <c r="B84" s="205" t="s">
        <v>617</v>
      </c>
      <c r="C84" s="204" t="s">
        <v>40</v>
      </c>
      <c r="D84" s="40" t="s">
        <v>484</v>
      </c>
      <c r="E84" s="235"/>
      <c r="F84" s="235"/>
      <c r="G84" s="237">
        <v>10000</v>
      </c>
      <c r="H84" s="207">
        <v>10000</v>
      </c>
      <c r="I84" s="207"/>
      <c r="J84" s="237">
        <v>10000</v>
      </c>
      <c r="K84" s="207">
        <v>10000</v>
      </c>
      <c r="L84" s="207"/>
      <c r="M84" s="207"/>
      <c r="N84" s="207"/>
      <c r="O84" s="207">
        <f t="shared" si="50"/>
        <v>0</v>
      </c>
      <c r="P84" s="207"/>
      <c r="Q84" s="207"/>
      <c r="R84" s="207"/>
      <c r="S84" s="207"/>
      <c r="T84" s="207">
        <f t="shared" si="12"/>
        <v>2000</v>
      </c>
      <c r="U84" s="240">
        <f>K84*0.2</f>
        <v>2000</v>
      </c>
      <c r="V84" s="207"/>
      <c r="W84" s="207"/>
      <c r="X84" s="207"/>
      <c r="Y84" s="204"/>
      <c r="Z84" s="239"/>
      <c r="AZ84" s="238"/>
    </row>
    <row r="85" spans="1:52" s="186" customFormat="1" ht="32.25" customHeight="1" x14ac:dyDescent="0.25">
      <c r="A85" s="204">
        <v>2</v>
      </c>
      <c r="B85" s="205" t="s">
        <v>618</v>
      </c>
      <c r="C85" s="204" t="s">
        <v>99</v>
      </c>
      <c r="D85" s="40" t="s">
        <v>484</v>
      </c>
      <c r="E85" s="235"/>
      <c r="F85" s="235"/>
      <c r="G85" s="237">
        <v>10000</v>
      </c>
      <c r="H85" s="207">
        <v>10000</v>
      </c>
      <c r="I85" s="207"/>
      <c r="J85" s="237">
        <v>6000</v>
      </c>
      <c r="K85" s="207">
        <v>6000</v>
      </c>
      <c r="L85" s="207"/>
      <c r="M85" s="207"/>
      <c r="N85" s="207"/>
      <c r="O85" s="207">
        <f t="shared" si="50"/>
        <v>4000</v>
      </c>
      <c r="P85" s="207"/>
      <c r="Q85" s="207"/>
      <c r="R85" s="207"/>
      <c r="S85" s="207"/>
      <c r="T85" s="207">
        <f t="shared" ref="T85" si="52">U85</f>
        <v>1500</v>
      </c>
      <c r="U85" s="240">
        <v>1500</v>
      </c>
      <c r="V85" s="207"/>
      <c r="W85" s="207"/>
      <c r="X85" s="207"/>
      <c r="Y85" s="204"/>
      <c r="Z85" s="239"/>
      <c r="AZ85" s="238"/>
    </row>
    <row r="88" spans="1:52" ht="18.75" x14ac:dyDescent="0.3">
      <c r="A88" s="187"/>
      <c r="B88" s="241"/>
      <c r="C88" s="242"/>
      <c r="D88" s="241"/>
      <c r="E88" s="241"/>
      <c r="F88" s="241"/>
      <c r="G88" s="187"/>
      <c r="H88" s="187"/>
      <c r="I88" s="187"/>
      <c r="J88" s="187"/>
      <c r="K88" s="187"/>
      <c r="L88" s="187"/>
      <c r="M88" s="187"/>
      <c r="N88" s="187"/>
      <c r="O88" s="187"/>
      <c r="P88" s="187"/>
      <c r="Q88" s="187"/>
      <c r="R88" s="187"/>
      <c r="S88" s="187"/>
      <c r="T88" s="187"/>
      <c r="U88" s="187"/>
      <c r="V88" s="187"/>
      <c r="W88" s="187"/>
      <c r="X88" s="187"/>
      <c r="Y88" s="187"/>
    </row>
    <row r="89" spans="1:52" ht="18.75" x14ac:dyDescent="0.25">
      <c r="A89" s="187"/>
      <c r="B89" s="243"/>
      <c r="C89" s="244"/>
      <c r="D89" s="243"/>
      <c r="E89" s="243"/>
      <c r="F89" s="243"/>
      <c r="G89" s="187"/>
      <c r="H89" s="187"/>
      <c r="I89" s="187"/>
      <c r="J89" s="187"/>
      <c r="K89" s="187"/>
      <c r="L89" s="187"/>
      <c r="M89" s="187"/>
      <c r="N89" s="187"/>
      <c r="O89" s="187"/>
      <c r="P89" s="187"/>
      <c r="Q89" s="187"/>
      <c r="R89" s="187"/>
      <c r="S89" s="187"/>
      <c r="T89" s="187"/>
      <c r="U89" s="187"/>
      <c r="V89" s="187"/>
      <c r="W89" s="187"/>
      <c r="X89" s="187"/>
      <c r="Y89" s="187"/>
    </row>
    <row r="90" spans="1:52" ht="18.75" x14ac:dyDescent="0.25">
      <c r="A90" s="187"/>
      <c r="B90" s="243"/>
      <c r="C90" s="244"/>
      <c r="D90" s="243"/>
      <c r="E90" s="243"/>
      <c r="F90" s="243"/>
      <c r="G90" s="187"/>
      <c r="H90" s="187"/>
      <c r="I90" s="187"/>
      <c r="J90" s="187"/>
      <c r="K90" s="187"/>
      <c r="L90" s="187"/>
      <c r="M90" s="187"/>
      <c r="N90" s="187"/>
      <c r="O90" s="187"/>
      <c r="P90" s="187"/>
      <c r="Q90" s="187"/>
      <c r="R90" s="187"/>
      <c r="S90" s="187"/>
      <c r="T90" s="187"/>
      <c r="U90" s="187"/>
      <c r="V90" s="187"/>
      <c r="W90" s="187"/>
      <c r="X90" s="187"/>
      <c r="Y90" s="187"/>
    </row>
    <row r="91" spans="1:52" ht="18.75" x14ac:dyDescent="0.25">
      <c r="A91" s="187"/>
      <c r="B91" s="243"/>
      <c r="C91" s="244"/>
      <c r="D91" s="243"/>
      <c r="E91" s="243"/>
      <c r="F91" s="243"/>
      <c r="G91" s="187"/>
      <c r="H91" s="187"/>
      <c r="I91" s="187"/>
      <c r="J91" s="187"/>
      <c r="K91" s="187"/>
      <c r="L91" s="187"/>
      <c r="M91" s="187"/>
      <c r="N91" s="187"/>
      <c r="O91" s="187"/>
      <c r="P91" s="187"/>
      <c r="Q91" s="187"/>
      <c r="R91" s="187"/>
      <c r="S91" s="187"/>
      <c r="T91" s="187"/>
      <c r="U91" s="187"/>
      <c r="V91" s="187"/>
      <c r="W91" s="187"/>
      <c r="X91" s="187"/>
      <c r="Y91" s="187"/>
    </row>
    <row r="92" spans="1:52" ht="18.75" x14ac:dyDescent="0.25">
      <c r="A92" s="187"/>
      <c r="B92" s="243"/>
      <c r="C92" s="244"/>
      <c r="D92" s="243"/>
      <c r="E92" s="243"/>
      <c r="F92" s="243"/>
      <c r="G92" s="187"/>
      <c r="H92" s="187"/>
      <c r="I92" s="187"/>
      <c r="J92" s="187"/>
      <c r="K92" s="187"/>
      <c r="L92" s="187"/>
      <c r="M92" s="187"/>
      <c r="N92" s="187"/>
      <c r="O92" s="187"/>
      <c r="P92" s="187"/>
      <c r="Q92" s="187"/>
      <c r="R92" s="187"/>
      <c r="S92" s="187"/>
      <c r="T92" s="187"/>
      <c r="U92" s="187"/>
      <c r="V92" s="187"/>
      <c r="W92" s="187"/>
      <c r="X92" s="187"/>
      <c r="Y92" s="187"/>
    </row>
    <row r="93" spans="1:52" ht="18.75" x14ac:dyDescent="0.25">
      <c r="A93" s="187"/>
      <c r="B93" s="245"/>
      <c r="C93" s="245"/>
      <c r="D93" s="245"/>
      <c r="E93" s="245"/>
      <c r="F93" s="245"/>
      <c r="G93" s="187"/>
      <c r="H93" s="187"/>
      <c r="I93" s="187"/>
      <c r="J93" s="187"/>
      <c r="K93" s="187"/>
      <c r="L93" s="187"/>
      <c r="M93" s="187"/>
      <c r="N93" s="187"/>
      <c r="O93" s="187"/>
      <c r="P93" s="187"/>
      <c r="Q93" s="187"/>
      <c r="R93" s="187"/>
      <c r="S93" s="187"/>
      <c r="T93" s="187"/>
      <c r="U93" s="187"/>
      <c r="V93" s="187"/>
      <c r="W93" s="187"/>
      <c r="X93" s="187"/>
      <c r="Y93" s="187"/>
    </row>
    <row r="94" spans="1:52" ht="18.75" x14ac:dyDescent="0.3">
      <c r="A94" s="187"/>
      <c r="B94" s="241"/>
      <c r="C94" s="242"/>
      <c r="D94" s="241"/>
      <c r="E94" s="241"/>
      <c r="F94" s="241"/>
      <c r="G94" s="187"/>
      <c r="H94" s="187"/>
      <c r="I94" s="187"/>
      <c r="J94" s="187"/>
      <c r="K94" s="187"/>
      <c r="L94" s="187"/>
      <c r="M94" s="187"/>
      <c r="N94" s="187"/>
      <c r="O94" s="187"/>
      <c r="P94" s="187"/>
      <c r="Q94" s="187"/>
      <c r="R94" s="187"/>
      <c r="S94" s="187"/>
      <c r="T94" s="187"/>
      <c r="U94" s="187"/>
      <c r="V94" s="187"/>
      <c r="W94" s="187"/>
      <c r="X94" s="187"/>
      <c r="Y94" s="187"/>
    </row>
    <row r="95" spans="1:52" ht="18.75" x14ac:dyDescent="0.3">
      <c r="A95" s="187"/>
      <c r="B95" s="241"/>
      <c r="C95" s="242"/>
      <c r="D95" s="241"/>
      <c r="E95" s="241"/>
      <c r="F95" s="241"/>
      <c r="G95" s="187"/>
      <c r="H95" s="187"/>
      <c r="I95" s="187"/>
      <c r="J95" s="187"/>
      <c r="K95" s="187"/>
      <c r="L95" s="187"/>
      <c r="M95" s="187"/>
      <c r="N95" s="187"/>
      <c r="O95" s="187"/>
      <c r="P95" s="187"/>
      <c r="Q95" s="187"/>
      <c r="R95" s="187"/>
      <c r="S95" s="187"/>
      <c r="T95" s="187"/>
      <c r="U95" s="187"/>
      <c r="V95" s="187"/>
      <c r="W95" s="187"/>
      <c r="X95" s="187"/>
      <c r="Y95" s="187"/>
    </row>
    <row r="96" spans="1:52" ht="18.75" x14ac:dyDescent="0.3">
      <c r="A96" s="187"/>
      <c r="B96" s="241"/>
      <c r="C96" s="242"/>
      <c r="D96" s="241"/>
      <c r="E96" s="241"/>
      <c r="F96" s="241"/>
      <c r="G96" s="187"/>
      <c r="H96" s="187"/>
      <c r="I96" s="187"/>
      <c r="J96" s="187"/>
      <c r="K96" s="187"/>
      <c r="L96" s="187"/>
      <c r="M96" s="187"/>
      <c r="N96" s="187"/>
      <c r="O96" s="187"/>
      <c r="P96" s="187"/>
      <c r="Q96" s="187"/>
      <c r="R96" s="187"/>
      <c r="S96" s="187"/>
      <c r="T96" s="187"/>
      <c r="U96" s="187"/>
      <c r="V96" s="187"/>
      <c r="W96" s="187"/>
      <c r="X96" s="187"/>
      <c r="Y96" s="187"/>
    </row>
    <row r="97" spans="2:6" s="187" customFormat="1" ht="15" x14ac:dyDescent="0.25">
      <c r="B97" s="246"/>
      <c r="C97" s="247"/>
      <c r="D97" s="246"/>
      <c r="E97" s="246"/>
      <c r="F97" s="246"/>
    </row>
  </sheetData>
  <mergeCells count="30">
    <mergeCell ref="G6:I6"/>
    <mergeCell ref="H8:H9"/>
    <mergeCell ref="I8:I9"/>
    <mergeCell ref="A1:B1"/>
    <mergeCell ref="T1:Y1"/>
    <mergeCell ref="A2:Y2"/>
    <mergeCell ref="A3:BB3"/>
    <mergeCell ref="A4:Y4"/>
    <mergeCell ref="I5:Y5"/>
    <mergeCell ref="A6:A9"/>
    <mergeCell ref="B6:B9"/>
    <mergeCell ref="C6:C9"/>
    <mergeCell ref="D6:D9"/>
    <mergeCell ref="E6:E9"/>
    <mergeCell ref="G7:G9"/>
    <mergeCell ref="H7:I7"/>
    <mergeCell ref="J7:J9"/>
    <mergeCell ref="K7:N7"/>
    <mergeCell ref="T7:T9"/>
    <mergeCell ref="X8:X9"/>
    <mergeCell ref="J6:N6"/>
    <mergeCell ref="O6:S9"/>
    <mergeCell ref="T6:X6"/>
    <mergeCell ref="Y6:Y9"/>
    <mergeCell ref="U7:X7"/>
    <mergeCell ref="K8:M9"/>
    <mergeCell ref="N8:N9"/>
    <mergeCell ref="U8:U9"/>
    <mergeCell ref="V8:V9"/>
    <mergeCell ref="W8:W9"/>
  </mergeCells>
  <conditionalFormatting sqref="B53 E53:F53">
    <cfRule type="duplicateValues" dxfId="8" priority="8"/>
  </conditionalFormatting>
  <conditionalFormatting sqref="B55 E55:F55">
    <cfRule type="duplicateValues" dxfId="7" priority="6"/>
  </conditionalFormatting>
  <conditionalFormatting sqref="B56 E56:F56">
    <cfRule type="duplicateValues" dxfId="6" priority="7"/>
  </conditionalFormatting>
  <conditionalFormatting sqref="B58:B60 E58:F60">
    <cfRule type="duplicateValues" dxfId="5" priority="5"/>
  </conditionalFormatting>
  <conditionalFormatting sqref="B62:B64 E62:F64">
    <cfRule type="duplicateValues" dxfId="4" priority="4"/>
  </conditionalFormatting>
  <conditionalFormatting sqref="B66:B70 E66:F70">
    <cfRule type="duplicateValues" dxfId="3" priority="3"/>
  </conditionalFormatting>
  <conditionalFormatting sqref="B72:B74 E72:F74">
    <cfRule type="duplicateValues" dxfId="2" priority="2"/>
  </conditionalFormatting>
  <conditionalFormatting sqref="B76:B79 E76:F79">
    <cfRule type="duplicateValues" dxfId="1" priority="1"/>
  </conditionalFormatting>
  <conditionalFormatting sqref="E81:F82 B81:B82 B84:B85 E84:F85">
    <cfRule type="duplicateValues" dxfId="0" priority="9"/>
  </conditionalFormatting>
  <pageMargins left="0.3" right="0.2" top="0.5" bottom="0.5" header="0.3" footer="0.3"/>
  <pageSetup paperSize="9" scale="93" fitToHeight="0" orientation="landscape" r:id="rId1"/>
  <headerFooter>
    <oddFooter>&amp;CB5c-&amp;P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A31CF-F4C5-4C58-B3C4-211548C70AC6}">
  <sheetPr>
    <tabColor rgb="FF92D050"/>
  </sheetPr>
  <dimension ref="A1:AA28"/>
  <sheetViews>
    <sheetView workbookViewId="0">
      <selection activeCell="T1" sqref="T1:W1"/>
    </sheetView>
  </sheetViews>
  <sheetFormatPr defaultRowHeight="18.75" x14ac:dyDescent="0.25"/>
  <cols>
    <col min="1" max="1" width="6.140625" style="128" customWidth="1"/>
    <col min="2" max="2" width="43.85546875" style="129" customWidth="1"/>
    <col min="3" max="3" width="17" style="130" customWidth="1"/>
    <col min="4" max="4" width="11" style="130" customWidth="1"/>
    <col min="5" max="5" width="11.5703125" style="130" customWidth="1"/>
    <col min="6" max="6" width="10" style="130" hidden="1" customWidth="1"/>
    <col min="7" max="7" width="15" style="130" customWidth="1"/>
    <col min="8" max="8" width="8.85546875" style="103" customWidth="1"/>
    <col min="9" max="9" width="9.28515625" style="103" customWidth="1"/>
    <col min="10" max="10" width="7.28515625" style="103" customWidth="1"/>
    <col min="11" max="11" width="6.7109375" style="103" customWidth="1"/>
    <col min="12" max="12" width="6.5703125" style="103" customWidth="1"/>
    <col min="13" max="13" width="6.5703125" style="103" hidden="1" customWidth="1"/>
    <col min="14" max="14" width="10.28515625" style="103" hidden="1" customWidth="1"/>
    <col min="15" max="15" width="8.42578125" style="103" hidden="1" customWidth="1"/>
    <col min="16" max="16" width="7.42578125" style="103" hidden="1" customWidth="1"/>
    <col min="17" max="17" width="8.140625" style="103" customWidth="1"/>
    <col min="18" max="18" width="8.42578125" style="103" customWidth="1"/>
    <col min="19" max="19" width="7.42578125" style="103" hidden="1" customWidth="1"/>
    <col min="20" max="20" width="8.140625" style="103" customWidth="1"/>
    <col min="21" max="21" width="8.42578125" style="103" customWidth="1"/>
    <col min="22" max="22" width="7.42578125" style="103" hidden="1" customWidth="1"/>
    <col min="23" max="23" width="10.28515625" style="103" customWidth="1"/>
    <col min="24" max="25" width="11.28515625" style="2" hidden="1" customWidth="1"/>
    <col min="26" max="26" width="0" style="2" hidden="1" customWidth="1"/>
    <col min="27" max="27" width="14.85546875" style="2" bestFit="1" customWidth="1"/>
    <col min="28" max="239" width="9.140625" style="2"/>
    <col min="240" max="240" width="5.140625" style="2" customWidth="1"/>
    <col min="241" max="241" width="32.42578125" style="2" customWidth="1"/>
    <col min="242" max="244" width="10.28515625" style="2" customWidth="1"/>
    <col min="245" max="246" width="12.42578125" style="2" customWidth="1"/>
    <col min="247" max="247" width="11.28515625" style="2" customWidth="1"/>
    <col min="248" max="248" width="12.42578125" style="2" customWidth="1"/>
    <col min="249" max="249" width="11.28515625" style="2" customWidth="1"/>
    <col min="250" max="250" width="12.42578125" style="2" customWidth="1"/>
    <col min="251" max="251" width="11.28515625" style="2" customWidth="1"/>
    <col min="252" max="252" width="12.42578125" style="2" customWidth="1"/>
    <col min="253" max="253" width="11.28515625" style="2" customWidth="1"/>
    <col min="254" max="254" width="12.42578125" style="2" customWidth="1"/>
    <col min="255" max="255" width="11.28515625" style="2" customWidth="1"/>
    <col min="256" max="256" width="14.140625" style="2" customWidth="1"/>
    <col min="257" max="257" width="10.28515625" style="2" customWidth="1"/>
    <col min="258" max="258" width="17.140625" style="2" customWidth="1"/>
    <col min="259" max="259" width="12" style="2" customWidth="1"/>
    <col min="260" max="260" width="14.140625" style="2" customWidth="1"/>
    <col min="261" max="261" width="10.28515625" style="2" customWidth="1"/>
    <col min="262" max="262" width="17.140625" style="2" customWidth="1"/>
    <col min="263" max="263" width="12" style="2" customWidth="1"/>
    <col min="264" max="264" width="10.7109375" style="2" customWidth="1"/>
    <col min="265" max="267" width="0" style="2" hidden="1" customWidth="1"/>
    <col min="268" max="495" width="9.140625" style="2"/>
    <col min="496" max="496" width="5.140625" style="2" customWidth="1"/>
    <col min="497" max="497" width="32.42578125" style="2" customWidth="1"/>
    <col min="498" max="500" width="10.28515625" style="2" customWidth="1"/>
    <col min="501" max="502" width="12.42578125" style="2" customWidth="1"/>
    <col min="503" max="503" width="11.28515625" style="2" customWidth="1"/>
    <col min="504" max="504" width="12.42578125" style="2" customWidth="1"/>
    <col min="505" max="505" width="11.28515625" style="2" customWidth="1"/>
    <col min="506" max="506" width="12.42578125" style="2" customWidth="1"/>
    <col min="507" max="507" width="11.28515625" style="2" customWidth="1"/>
    <col min="508" max="508" width="12.42578125" style="2" customWidth="1"/>
    <col min="509" max="509" width="11.28515625" style="2" customWidth="1"/>
    <col min="510" max="510" width="12.42578125" style="2" customWidth="1"/>
    <col min="511" max="511" width="11.28515625" style="2" customWidth="1"/>
    <col min="512" max="512" width="14.140625" style="2" customWidth="1"/>
    <col min="513" max="513" width="10.28515625" style="2" customWidth="1"/>
    <col min="514" max="514" width="17.140625" style="2" customWidth="1"/>
    <col min="515" max="515" width="12" style="2" customWidth="1"/>
    <col min="516" max="516" width="14.140625" style="2" customWidth="1"/>
    <col min="517" max="517" width="10.28515625" style="2" customWidth="1"/>
    <col min="518" max="518" width="17.140625" style="2" customWidth="1"/>
    <col min="519" max="519" width="12" style="2" customWidth="1"/>
    <col min="520" max="520" width="10.7109375" style="2" customWidth="1"/>
    <col min="521" max="523" width="0" style="2" hidden="1" customWidth="1"/>
    <col min="524" max="751" width="9.140625" style="2"/>
    <col min="752" max="752" width="5.140625" style="2" customWidth="1"/>
    <col min="753" max="753" width="32.42578125" style="2" customWidth="1"/>
    <col min="754" max="756" width="10.28515625" style="2" customWidth="1"/>
    <col min="757" max="758" width="12.42578125" style="2" customWidth="1"/>
    <col min="759" max="759" width="11.28515625" style="2" customWidth="1"/>
    <col min="760" max="760" width="12.42578125" style="2" customWidth="1"/>
    <col min="761" max="761" width="11.28515625" style="2" customWidth="1"/>
    <col min="762" max="762" width="12.42578125" style="2" customWidth="1"/>
    <col min="763" max="763" width="11.28515625" style="2" customWidth="1"/>
    <col min="764" max="764" width="12.42578125" style="2" customWidth="1"/>
    <col min="765" max="765" width="11.28515625" style="2" customWidth="1"/>
    <col min="766" max="766" width="12.42578125" style="2" customWidth="1"/>
    <col min="767" max="767" width="11.28515625" style="2" customWidth="1"/>
    <col min="768" max="768" width="14.140625" style="2" customWidth="1"/>
    <col min="769" max="769" width="10.28515625" style="2" customWidth="1"/>
    <col min="770" max="770" width="17.140625" style="2" customWidth="1"/>
    <col min="771" max="771" width="12" style="2" customWidth="1"/>
    <col min="772" max="772" width="14.140625" style="2" customWidth="1"/>
    <col min="773" max="773" width="10.28515625" style="2" customWidth="1"/>
    <col min="774" max="774" width="17.140625" style="2" customWidth="1"/>
    <col min="775" max="775" width="12" style="2" customWidth="1"/>
    <col min="776" max="776" width="10.7109375" style="2" customWidth="1"/>
    <col min="777" max="779" width="0" style="2" hidden="1" customWidth="1"/>
    <col min="780" max="1007" width="9.140625" style="2"/>
    <col min="1008" max="1008" width="5.140625" style="2" customWidth="1"/>
    <col min="1009" max="1009" width="32.42578125" style="2" customWidth="1"/>
    <col min="1010" max="1012" width="10.28515625" style="2" customWidth="1"/>
    <col min="1013" max="1014" width="12.42578125" style="2" customWidth="1"/>
    <col min="1015" max="1015" width="11.28515625" style="2" customWidth="1"/>
    <col min="1016" max="1016" width="12.42578125" style="2" customWidth="1"/>
    <col min="1017" max="1017" width="11.28515625" style="2" customWidth="1"/>
    <col min="1018" max="1018" width="12.42578125" style="2" customWidth="1"/>
    <col min="1019" max="1019" width="11.28515625" style="2" customWidth="1"/>
    <col min="1020" max="1020" width="12.42578125" style="2" customWidth="1"/>
    <col min="1021" max="1021" width="11.28515625" style="2" customWidth="1"/>
    <col min="1022" max="1022" width="12.42578125" style="2" customWidth="1"/>
    <col min="1023" max="1023" width="11.28515625" style="2" customWidth="1"/>
    <col min="1024" max="1024" width="14.140625" style="2" customWidth="1"/>
    <col min="1025" max="1025" width="10.28515625" style="2" customWidth="1"/>
    <col min="1026" max="1026" width="17.140625" style="2" customWidth="1"/>
    <col min="1027" max="1027" width="12" style="2" customWidth="1"/>
    <col min="1028" max="1028" width="14.140625" style="2" customWidth="1"/>
    <col min="1029" max="1029" width="10.28515625" style="2" customWidth="1"/>
    <col min="1030" max="1030" width="17.140625" style="2" customWidth="1"/>
    <col min="1031" max="1031" width="12" style="2" customWidth="1"/>
    <col min="1032" max="1032" width="10.7109375" style="2" customWidth="1"/>
    <col min="1033" max="1035" width="0" style="2" hidden="1" customWidth="1"/>
    <col min="1036" max="1263" width="9.140625" style="2"/>
    <col min="1264" max="1264" width="5.140625" style="2" customWidth="1"/>
    <col min="1265" max="1265" width="32.42578125" style="2" customWidth="1"/>
    <col min="1266" max="1268" width="10.28515625" style="2" customWidth="1"/>
    <col min="1269" max="1270" width="12.42578125" style="2" customWidth="1"/>
    <col min="1271" max="1271" width="11.28515625" style="2" customWidth="1"/>
    <col min="1272" max="1272" width="12.42578125" style="2" customWidth="1"/>
    <col min="1273" max="1273" width="11.28515625" style="2" customWidth="1"/>
    <col min="1274" max="1274" width="12.42578125" style="2" customWidth="1"/>
    <col min="1275" max="1275" width="11.28515625" style="2" customWidth="1"/>
    <col min="1276" max="1276" width="12.42578125" style="2" customWidth="1"/>
    <col min="1277" max="1277" width="11.28515625" style="2" customWidth="1"/>
    <col min="1278" max="1278" width="12.42578125" style="2" customWidth="1"/>
    <col min="1279" max="1279" width="11.28515625" style="2" customWidth="1"/>
    <col min="1280" max="1280" width="14.140625" style="2" customWidth="1"/>
    <col min="1281" max="1281" width="10.28515625" style="2" customWidth="1"/>
    <col min="1282" max="1282" width="17.140625" style="2" customWidth="1"/>
    <col min="1283" max="1283" width="12" style="2" customWidth="1"/>
    <col min="1284" max="1284" width="14.140625" style="2" customWidth="1"/>
    <col min="1285" max="1285" width="10.28515625" style="2" customWidth="1"/>
    <col min="1286" max="1286" width="17.140625" style="2" customWidth="1"/>
    <col min="1287" max="1287" width="12" style="2" customWidth="1"/>
    <col min="1288" max="1288" width="10.7109375" style="2" customWidth="1"/>
    <col min="1289" max="1291" width="0" style="2" hidden="1" customWidth="1"/>
    <col min="1292" max="1519" width="9.140625" style="2"/>
    <col min="1520" max="1520" width="5.140625" style="2" customWidth="1"/>
    <col min="1521" max="1521" width="32.42578125" style="2" customWidth="1"/>
    <col min="1522" max="1524" width="10.28515625" style="2" customWidth="1"/>
    <col min="1525" max="1526" width="12.42578125" style="2" customWidth="1"/>
    <col min="1527" max="1527" width="11.28515625" style="2" customWidth="1"/>
    <col min="1528" max="1528" width="12.42578125" style="2" customWidth="1"/>
    <col min="1529" max="1529" width="11.28515625" style="2" customWidth="1"/>
    <col min="1530" max="1530" width="12.42578125" style="2" customWidth="1"/>
    <col min="1531" max="1531" width="11.28515625" style="2" customWidth="1"/>
    <col min="1532" max="1532" width="12.42578125" style="2" customWidth="1"/>
    <col min="1533" max="1533" width="11.28515625" style="2" customWidth="1"/>
    <col min="1534" max="1534" width="12.42578125" style="2" customWidth="1"/>
    <col min="1535" max="1535" width="11.28515625" style="2" customWidth="1"/>
    <col min="1536" max="1536" width="14.140625" style="2" customWidth="1"/>
    <col min="1537" max="1537" width="10.28515625" style="2" customWidth="1"/>
    <col min="1538" max="1538" width="17.140625" style="2" customWidth="1"/>
    <col min="1539" max="1539" width="12" style="2" customWidth="1"/>
    <col min="1540" max="1540" width="14.140625" style="2" customWidth="1"/>
    <col min="1541" max="1541" width="10.28515625" style="2" customWidth="1"/>
    <col min="1542" max="1542" width="17.140625" style="2" customWidth="1"/>
    <col min="1543" max="1543" width="12" style="2" customWidth="1"/>
    <col min="1544" max="1544" width="10.7109375" style="2" customWidth="1"/>
    <col min="1545" max="1547" width="0" style="2" hidden="1" customWidth="1"/>
    <col min="1548" max="1775" width="9.140625" style="2"/>
    <col min="1776" max="1776" width="5.140625" style="2" customWidth="1"/>
    <col min="1777" max="1777" width="32.42578125" style="2" customWidth="1"/>
    <col min="1778" max="1780" width="10.28515625" style="2" customWidth="1"/>
    <col min="1781" max="1782" width="12.42578125" style="2" customWidth="1"/>
    <col min="1783" max="1783" width="11.28515625" style="2" customWidth="1"/>
    <col min="1784" max="1784" width="12.42578125" style="2" customWidth="1"/>
    <col min="1785" max="1785" width="11.28515625" style="2" customWidth="1"/>
    <col min="1786" max="1786" width="12.42578125" style="2" customWidth="1"/>
    <col min="1787" max="1787" width="11.28515625" style="2" customWidth="1"/>
    <col min="1788" max="1788" width="12.42578125" style="2" customWidth="1"/>
    <col min="1789" max="1789" width="11.28515625" style="2" customWidth="1"/>
    <col min="1790" max="1790" width="12.42578125" style="2" customWidth="1"/>
    <col min="1791" max="1791" width="11.28515625" style="2" customWidth="1"/>
    <col min="1792" max="1792" width="14.140625" style="2" customWidth="1"/>
    <col min="1793" max="1793" width="10.28515625" style="2" customWidth="1"/>
    <col min="1794" max="1794" width="17.140625" style="2" customWidth="1"/>
    <col min="1795" max="1795" width="12" style="2" customWidth="1"/>
    <col min="1796" max="1796" width="14.140625" style="2" customWidth="1"/>
    <col min="1797" max="1797" width="10.28515625" style="2" customWidth="1"/>
    <col min="1798" max="1798" width="17.140625" style="2" customWidth="1"/>
    <col min="1799" max="1799" width="12" style="2" customWidth="1"/>
    <col min="1800" max="1800" width="10.7109375" style="2" customWidth="1"/>
    <col min="1801" max="1803" width="0" style="2" hidden="1" customWidth="1"/>
    <col min="1804" max="2031" width="9.140625" style="2"/>
    <col min="2032" max="2032" width="5.140625" style="2" customWidth="1"/>
    <col min="2033" max="2033" width="32.42578125" style="2" customWidth="1"/>
    <col min="2034" max="2036" width="10.28515625" style="2" customWidth="1"/>
    <col min="2037" max="2038" width="12.42578125" style="2" customWidth="1"/>
    <col min="2039" max="2039" width="11.28515625" style="2" customWidth="1"/>
    <col min="2040" max="2040" width="12.42578125" style="2" customWidth="1"/>
    <col min="2041" max="2041" width="11.28515625" style="2" customWidth="1"/>
    <col min="2042" max="2042" width="12.42578125" style="2" customWidth="1"/>
    <col min="2043" max="2043" width="11.28515625" style="2" customWidth="1"/>
    <col min="2044" max="2044" width="12.42578125" style="2" customWidth="1"/>
    <col min="2045" max="2045" width="11.28515625" style="2" customWidth="1"/>
    <col min="2046" max="2046" width="12.42578125" style="2" customWidth="1"/>
    <col min="2047" max="2047" width="11.28515625" style="2" customWidth="1"/>
    <col min="2048" max="2048" width="14.140625" style="2" customWidth="1"/>
    <col min="2049" max="2049" width="10.28515625" style="2" customWidth="1"/>
    <col min="2050" max="2050" width="17.140625" style="2" customWidth="1"/>
    <col min="2051" max="2051" width="12" style="2" customWidth="1"/>
    <col min="2052" max="2052" width="14.140625" style="2" customWidth="1"/>
    <col min="2053" max="2053" width="10.28515625" style="2" customWidth="1"/>
    <col min="2054" max="2054" width="17.140625" style="2" customWidth="1"/>
    <col min="2055" max="2055" width="12" style="2" customWidth="1"/>
    <col min="2056" max="2056" width="10.7109375" style="2" customWidth="1"/>
    <col min="2057" max="2059" width="0" style="2" hidden="1" customWidth="1"/>
    <col min="2060" max="2287" width="9.140625" style="2"/>
    <col min="2288" max="2288" width="5.140625" style="2" customWidth="1"/>
    <col min="2289" max="2289" width="32.42578125" style="2" customWidth="1"/>
    <col min="2290" max="2292" width="10.28515625" style="2" customWidth="1"/>
    <col min="2293" max="2294" width="12.42578125" style="2" customWidth="1"/>
    <col min="2295" max="2295" width="11.28515625" style="2" customWidth="1"/>
    <col min="2296" max="2296" width="12.42578125" style="2" customWidth="1"/>
    <col min="2297" max="2297" width="11.28515625" style="2" customWidth="1"/>
    <col min="2298" max="2298" width="12.42578125" style="2" customWidth="1"/>
    <col min="2299" max="2299" width="11.28515625" style="2" customWidth="1"/>
    <col min="2300" max="2300" width="12.42578125" style="2" customWidth="1"/>
    <col min="2301" max="2301" width="11.28515625" style="2" customWidth="1"/>
    <col min="2302" max="2302" width="12.42578125" style="2" customWidth="1"/>
    <col min="2303" max="2303" width="11.28515625" style="2" customWidth="1"/>
    <col min="2304" max="2304" width="14.140625" style="2" customWidth="1"/>
    <col min="2305" max="2305" width="10.28515625" style="2" customWidth="1"/>
    <col min="2306" max="2306" width="17.140625" style="2" customWidth="1"/>
    <col min="2307" max="2307" width="12" style="2" customWidth="1"/>
    <col min="2308" max="2308" width="14.140625" style="2" customWidth="1"/>
    <col min="2309" max="2309" width="10.28515625" style="2" customWidth="1"/>
    <col min="2310" max="2310" width="17.140625" style="2" customWidth="1"/>
    <col min="2311" max="2311" width="12" style="2" customWidth="1"/>
    <col min="2312" max="2312" width="10.7109375" style="2" customWidth="1"/>
    <col min="2313" max="2315" width="0" style="2" hidden="1" customWidth="1"/>
    <col min="2316" max="2543" width="9.140625" style="2"/>
    <col min="2544" max="2544" width="5.140625" style="2" customWidth="1"/>
    <col min="2545" max="2545" width="32.42578125" style="2" customWidth="1"/>
    <col min="2546" max="2548" width="10.28515625" style="2" customWidth="1"/>
    <col min="2549" max="2550" width="12.42578125" style="2" customWidth="1"/>
    <col min="2551" max="2551" width="11.28515625" style="2" customWidth="1"/>
    <col min="2552" max="2552" width="12.42578125" style="2" customWidth="1"/>
    <col min="2553" max="2553" width="11.28515625" style="2" customWidth="1"/>
    <col min="2554" max="2554" width="12.42578125" style="2" customWidth="1"/>
    <col min="2555" max="2555" width="11.28515625" style="2" customWidth="1"/>
    <col min="2556" max="2556" width="12.42578125" style="2" customWidth="1"/>
    <col min="2557" max="2557" width="11.28515625" style="2" customWidth="1"/>
    <col min="2558" max="2558" width="12.42578125" style="2" customWidth="1"/>
    <col min="2559" max="2559" width="11.28515625" style="2" customWidth="1"/>
    <col min="2560" max="2560" width="14.140625" style="2" customWidth="1"/>
    <col min="2561" max="2561" width="10.28515625" style="2" customWidth="1"/>
    <col min="2562" max="2562" width="17.140625" style="2" customWidth="1"/>
    <col min="2563" max="2563" width="12" style="2" customWidth="1"/>
    <col min="2564" max="2564" width="14.140625" style="2" customWidth="1"/>
    <col min="2565" max="2565" width="10.28515625" style="2" customWidth="1"/>
    <col min="2566" max="2566" width="17.140625" style="2" customWidth="1"/>
    <col min="2567" max="2567" width="12" style="2" customWidth="1"/>
    <col min="2568" max="2568" width="10.7109375" style="2" customWidth="1"/>
    <col min="2569" max="2571" width="0" style="2" hidden="1" customWidth="1"/>
    <col min="2572" max="2799" width="9.140625" style="2"/>
    <col min="2800" max="2800" width="5.140625" style="2" customWidth="1"/>
    <col min="2801" max="2801" width="32.42578125" style="2" customWidth="1"/>
    <col min="2802" max="2804" width="10.28515625" style="2" customWidth="1"/>
    <col min="2805" max="2806" width="12.42578125" style="2" customWidth="1"/>
    <col min="2807" max="2807" width="11.28515625" style="2" customWidth="1"/>
    <col min="2808" max="2808" width="12.42578125" style="2" customWidth="1"/>
    <col min="2809" max="2809" width="11.28515625" style="2" customWidth="1"/>
    <col min="2810" max="2810" width="12.42578125" style="2" customWidth="1"/>
    <col min="2811" max="2811" width="11.28515625" style="2" customWidth="1"/>
    <col min="2812" max="2812" width="12.42578125" style="2" customWidth="1"/>
    <col min="2813" max="2813" width="11.28515625" style="2" customWidth="1"/>
    <col min="2814" max="2814" width="12.42578125" style="2" customWidth="1"/>
    <col min="2815" max="2815" width="11.28515625" style="2" customWidth="1"/>
    <col min="2816" max="2816" width="14.140625" style="2" customWidth="1"/>
    <col min="2817" max="2817" width="10.28515625" style="2" customWidth="1"/>
    <col min="2818" max="2818" width="17.140625" style="2" customWidth="1"/>
    <col min="2819" max="2819" width="12" style="2" customWidth="1"/>
    <col min="2820" max="2820" width="14.140625" style="2" customWidth="1"/>
    <col min="2821" max="2821" width="10.28515625" style="2" customWidth="1"/>
    <col min="2822" max="2822" width="17.140625" style="2" customWidth="1"/>
    <col min="2823" max="2823" width="12" style="2" customWidth="1"/>
    <col min="2824" max="2824" width="10.7109375" style="2" customWidth="1"/>
    <col min="2825" max="2827" width="0" style="2" hidden="1" customWidth="1"/>
    <col min="2828" max="3055" width="9.140625" style="2"/>
    <col min="3056" max="3056" width="5.140625" style="2" customWidth="1"/>
    <col min="3057" max="3057" width="32.42578125" style="2" customWidth="1"/>
    <col min="3058" max="3060" width="10.28515625" style="2" customWidth="1"/>
    <col min="3061" max="3062" width="12.42578125" style="2" customWidth="1"/>
    <col min="3063" max="3063" width="11.28515625" style="2" customWidth="1"/>
    <col min="3064" max="3064" width="12.42578125" style="2" customWidth="1"/>
    <col min="3065" max="3065" width="11.28515625" style="2" customWidth="1"/>
    <col min="3066" max="3066" width="12.42578125" style="2" customWidth="1"/>
    <col min="3067" max="3067" width="11.28515625" style="2" customWidth="1"/>
    <col min="3068" max="3068" width="12.42578125" style="2" customWidth="1"/>
    <col min="3069" max="3069" width="11.28515625" style="2" customWidth="1"/>
    <col min="3070" max="3070" width="12.42578125" style="2" customWidth="1"/>
    <col min="3071" max="3071" width="11.28515625" style="2" customWidth="1"/>
    <col min="3072" max="3072" width="14.140625" style="2" customWidth="1"/>
    <col min="3073" max="3073" width="10.28515625" style="2" customWidth="1"/>
    <col min="3074" max="3074" width="17.140625" style="2" customWidth="1"/>
    <col min="3075" max="3075" width="12" style="2" customWidth="1"/>
    <col min="3076" max="3076" width="14.140625" style="2" customWidth="1"/>
    <col min="3077" max="3077" width="10.28515625" style="2" customWidth="1"/>
    <col min="3078" max="3078" width="17.140625" style="2" customWidth="1"/>
    <col min="3079" max="3079" width="12" style="2" customWidth="1"/>
    <col min="3080" max="3080" width="10.7109375" style="2" customWidth="1"/>
    <col min="3081" max="3083" width="0" style="2" hidden="1" customWidth="1"/>
    <col min="3084" max="3311" width="9.140625" style="2"/>
    <col min="3312" max="3312" width="5.140625" style="2" customWidth="1"/>
    <col min="3313" max="3313" width="32.42578125" style="2" customWidth="1"/>
    <col min="3314" max="3316" width="10.28515625" style="2" customWidth="1"/>
    <col min="3317" max="3318" width="12.42578125" style="2" customWidth="1"/>
    <col min="3319" max="3319" width="11.28515625" style="2" customWidth="1"/>
    <col min="3320" max="3320" width="12.42578125" style="2" customWidth="1"/>
    <col min="3321" max="3321" width="11.28515625" style="2" customWidth="1"/>
    <col min="3322" max="3322" width="12.42578125" style="2" customWidth="1"/>
    <col min="3323" max="3323" width="11.28515625" style="2" customWidth="1"/>
    <col min="3324" max="3324" width="12.42578125" style="2" customWidth="1"/>
    <col min="3325" max="3325" width="11.28515625" style="2" customWidth="1"/>
    <col min="3326" max="3326" width="12.42578125" style="2" customWidth="1"/>
    <col min="3327" max="3327" width="11.28515625" style="2" customWidth="1"/>
    <col min="3328" max="3328" width="14.140625" style="2" customWidth="1"/>
    <col min="3329" max="3329" width="10.28515625" style="2" customWidth="1"/>
    <col min="3330" max="3330" width="17.140625" style="2" customWidth="1"/>
    <col min="3331" max="3331" width="12" style="2" customWidth="1"/>
    <col min="3332" max="3332" width="14.140625" style="2" customWidth="1"/>
    <col min="3333" max="3333" width="10.28515625" style="2" customWidth="1"/>
    <col min="3334" max="3334" width="17.140625" style="2" customWidth="1"/>
    <col min="3335" max="3335" width="12" style="2" customWidth="1"/>
    <col min="3336" max="3336" width="10.7109375" style="2" customWidth="1"/>
    <col min="3337" max="3339" width="0" style="2" hidden="1" customWidth="1"/>
    <col min="3340" max="3567" width="9.140625" style="2"/>
    <col min="3568" max="3568" width="5.140625" style="2" customWidth="1"/>
    <col min="3569" max="3569" width="32.42578125" style="2" customWidth="1"/>
    <col min="3570" max="3572" width="10.28515625" style="2" customWidth="1"/>
    <col min="3573" max="3574" width="12.42578125" style="2" customWidth="1"/>
    <col min="3575" max="3575" width="11.28515625" style="2" customWidth="1"/>
    <col min="3576" max="3576" width="12.42578125" style="2" customWidth="1"/>
    <col min="3577" max="3577" width="11.28515625" style="2" customWidth="1"/>
    <col min="3578" max="3578" width="12.42578125" style="2" customWidth="1"/>
    <col min="3579" max="3579" width="11.28515625" style="2" customWidth="1"/>
    <col min="3580" max="3580" width="12.42578125" style="2" customWidth="1"/>
    <col min="3581" max="3581" width="11.28515625" style="2" customWidth="1"/>
    <col min="3582" max="3582" width="12.42578125" style="2" customWidth="1"/>
    <col min="3583" max="3583" width="11.28515625" style="2" customWidth="1"/>
    <col min="3584" max="3584" width="14.140625" style="2" customWidth="1"/>
    <col min="3585" max="3585" width="10.28515625" style="2" customWidth="1"/>
    <col min="3586" max="3586" width="17.140625" style="2" customWidth="1"/>
    <col min="3587" max="3587" width="12" style="2" customWidth="1"/>
    <col min="3588" max="3588" width="14.140625" style="2" customWidth="1"/>
    <col min="3589" max="3589" width="10.28515625" style="2" customWidth="1"/>
    <col min="3590" max="3590" width="17.140625" style="2" customWidth="1"/>
    <col min="3591" max="3591" width="12" style="2" customWidth="1"/>
    <col min="3592" max="3592" width="10.7109375" style="2" customWidth="1"/>
    <col min="3593" max="3595" width="0" style="2" hidden="1" customWidth="1"/>
    <col min="3596" max="3823" width="9.140625" style="2"/>
    <col min="3824" max="3824" width="5.140625" style="2" customWidth="1"/>
    <col min="3825" max="3825" width="32.42578125" style="2" customWidth="1"/>
    <col min="3826" max="3828" width="10.28515625" style="2" customWidth="1"/>
    <col min="3829" max="3830" width="12.42578125" style="2" customWidth="1"/>
    <col min="3831" max="3831" width="11.28515625" style="2" customWidth="1"/>
    <col min="3832" max="3832" width="12.42578125" style="2" customWidth="1"/>
    <col min="3833" max="3833" width="11.28515625" style="2" customWidth="1"/>
    <col min="3834" max="3834" width="12.42578125" style="2" customWidth="1"/>
    <col min="3835" max="3835" width="11.28515625" style="2" customWidth="1"/>
    <col min="3836" max="3836" width="12.42578125" style="2" customWidth="1"/>
    <col min="3837" max="3837" width="11.28515625" style="2" customWidth="1"/>
    <col min="3838" max="3838" width="12.42578125" style="2" customWidth="1"/>
    <col min="3839" max="3839" width="11.28515625" style="2" customWidth="1"/>
    <col min="3840" max="3840" width="14.140625" style="2" customWidth="1"/>
    <col min="3841" max="3841" width="10.28515625" style="2" customWidth="1"/>
    <col min="3842" max="3842" width="17.140625" style="2" customWidth="1"/>
    <col min="3843" max="3843" width="12" style="2" customWidth="1"/>
    <col min="3844" max="3844" width="14.140625" style="2" customWidth="1"/>
    <col min="3845" max="3845" width="10.28515625" style="2" customWidth="1"/>
    <col min="3846" max="3846" width="17.140625" style="2" customWidth="1"/>
    <col min="3847" max="3847" width="12" style="2" customWidth="1"/>
    <col min="3848" max="3848" width="10.7109375" style="2" customWidth="1"/>
    <col min="3849" max="3851" width="0" style="2" hidden="1" customWidth="1"/>
    <col min="3852" max="4079" width="9.140625" style="2"/>
    <col min="4080" max="4080" width="5.140625" style="2" customWidth="1"/>
    <col min="4081" max="4081" width="32.42578125" style="2" customWidth="1"/>
    <col min="4082" max="4084" width="10.28515625" style="2" customWidth="1"/>
    <col min="4085" max="4086" width="12.42578125" style="2" customWidth="1"/>
    <col min="4087" max="4087" width="11.28515625" style="2" customWidth="1"/>
    <col min="4088" max="4088" width="12.42578125" style="2" customWidth="1"/>
    <col min="4089" max="4089" width="11.28515625" style="2" customWidth="1"/>
    <col min="4090" max="4090" width="12.42578125" style="2" customWidth="1"/>
    <col min="4091" max="4091" width="11.28515625" style="2" customWidth="1"/>
    <col min="4092" max="4092" width="12.42578125" style="2" customWidth="1"/>
    <col min="4093" max="4093" width="11.28515625" style="2" customWidth="1"/>
    <col min="4094" max="4094" width="12.42578125" style="2" customWidth="1"/>
    <col min="4095" max="4095" width="11.28515625" style="2" customWidth="1"/>
    <col min="4096" max="4096" width="14.140625" style="2" customWidth="1"/>
    <col min="4097" max="4097" width="10.28515625" style="2" customWidth="1"/>
    <col min="4098" max="4098" width="17.140625" style="2" customWidth="1"/>
    <col min="4099" max="4099" width="12" style="2" customWidth="1"/>
    <col min="4100" max="4100" width="14.140625" style="2" customWidth="1"/>
    <col min="4101" max="4101" width="10.28515625" style="2" customWidth="1"/>
    <col min="4102" max="4102" width="17.140625" style="2" customWidth="1"/>
    <col min="4103" max="4103" width="12" style="2" customWidth="1"/>
    <col min="4104" max="4104" width="10.7109375" style="2" customWidth="1"/>
    <col min="4105" max="4107" width="0" style="2" hidden="1" customWidth="1"/>
    <col min="4108" max="4335" width="9.140625" style="2"/>
    <col min="4336" max="4336" width="5.140625" style="2" customWidth="1"/>
    <col min="4337" max="4337" width="32.42578125" style="2" customWidth="1"/>
    <col min="4338" max="4340" width="10.28515625" style="2" customWidth="1"/>
    <col min="4341" max="4342" width="12.42578125" style="2" customWidth="1"/>
    <col min="4343" max="4343" width="11.28515625" style="2" customWidth="1"/>
    <col min="4344" max="4344" width="12.42578125" style="2" customWidth="1"/>
    <col min="4345" max="4345" width="11.28515625" style="2" customWidth="1"/>
    <col min="4346" max="4346" width="12.42578125" style="2" customWidth="1"/>
    <col min="4347" max="4347" width="11.28515625" style="2" customWidth="1"/>
    <col min="4348" max="4348" width="12.42578125" style="2" customWidth="1"/>
    <col min="4349" max="4349" width="11.28515625" style="2" customWidth="1"/>
    <col min="4350" max="4350" width="12.42578125" style="2" customWidth="1"/>
    <col min="4351" max="4351" width="11.28515625" style="2" customWidth="1"/>
    <col min="4352" max="4352" width="14.140625" style="2" customWidth="1"/>
    <col min="4353" max="4353" width="10.28515625" style="2" customWidth="1"/>
    <col min="4354" max="4354" width="17.140625" style="2" customWidth="1"/>
    <col min="4355" max="4355" width="12" style="2" customWidth="1"/>
    <col min="4356" max="4356" width="14.140625" style="2" customWidth="1"/>
    <col min="4357" max="4357" width="10.28515625" style="2" customWidth="1"/>
    <col min="4358" max="4358" width="17.140625" style="2" customWidth="1"/>
    <col min="4359" max="4359" width="12" style="2" customWidth="1"/>
    <col min="4360" max="4360" width="10.7109375" style="2" customWidth="1"/>
    <col min="4361" max="4363" width="0" style="2" hidden="1" customWidth="1"/>
    <col min="4364" max="4591" width="9.140625" style="2"/>
    <col min="4592" max="4592" width="5.140625" style="2" customWidth="1"/>
    <col min="4593" max="4593" width="32.42578125" style="2" customWidth="1"/>
    <col min="4594" max="4596" width="10.28515625" style="2" customWidth="1"/>
    <col min="4597" max="4598" width="12.42578125" style="2" customWidth="1"/>
    <col min="4599" max="4599" width="11.28515625" style="2" customWidth="1"/>
    <col min="4600" max="4600" width="12.42578125" style="2" customWidth="1"/>
    <col min="4601" max="4601" width="11.28515625" style="2" customWidth="1"/>
    <col min="4602" max="4602" width="12.42578125" style="2" customWidth="1"/>
    <col min="4603" max="4603" width="11.28515625" style="2" customWidth="1"/>
    <col min="4604" max="4604" width="12.42578125" style="2" customWidth="1"/>
    <col min="4605" max="4605" width="11.28515625" style="2" customWidth="1"/>
    <col min="4606" max="4606" width="12.42578125" style="2" customWidth="1"/>
    <col min="4607" max="4607" width="11.28515625" style="2" customWidth="1"/>
    <col min="4608" max="4608" width="14.140625" style="2" customWidth="1"/>
    <col min="4609" max="4609" width="10.28515625" style="2" customWidth="1"/>
    <col min="4610" max="4610" width="17.140625" style="2" customWidth="1"/>
    <col min="4611" max="4611" width="12" style="2" customWidth="1"/>
    <col min="4612" max="4612" width="14.140625" style="2" customWidth="1"/>
    <col min="4613" max="4613" width="10.28515625" style="2" customWidth="1"/>
    <col min="4614" max="4614" width="17.140625" style="2" customWidth="1"/>
    <col min="4615" max="4615" width="12" style="2" customWidth="1"/>
    <col min="4616" max="4616" width="10.7109375" style="2" customWidth="1"/>
    <col min="4617" max="4619" width="0" style="2" hidden="1" customWidth="1"/>
    <col min="4620" max="4847" width="9.140625" style="2"/>
    <col min="4848" max="4848" width="5.140625" style="2" customWidth="1"/>
    <col min="4849" max="4849" width="32.42578125" style="2" customWidth="1"/>
    <col min="4850" max="4852" width="10.28515625" style="2" customWidth="1"/>
    <col min="4853" max="4854" width="12.42578125" style="2" customWidth="1"/>
    <col min="4855" max="4855" width="11.28515625" style="2" customWidth="1"/>
    <col min="4856" max="4856" width="12.42578125" style="2" customWidth="1"/>
    <col min="4857" max="4857" width="11.28515625" style="2" customWidth="1"/>
    <col min="4858" max="4858" width="12.42578125" style="2" customWidth="1"/>
    <col min="4859" max="4859" width="11.28515625" style="2" customWidth="1"/>
    <col min="4860" max="4860" width="12.42578125" style="2" customWidth="1"/>
    <col min="4861" max="4861" width="11.28515625" style="2" customWidth="1"/>
    <col min="4862" max="4862" width="12.42578125" style="2" customWidth="1"/>
    <col min="4863" max="4863" width="11.28515625" style="2" customWidth="1"/>
    <col min="4864" max="4864" width="14.140625" style="2" customWidth="1"/>
    <col min="4865" max="4865" width="10.28515625" style="2" customWidth="1"/>
    <col min="4866" max="4866" width="17.140625" style="2" customWidth="1"/>
    <col min="4867" max="4867" width="12" style="2" customWidth="1"/>
    <col min="4868" max="4868" width="14.140625" style="2" customWidth="1"/>
    <col min="4869" max="4869" width="10.28515625" style="2" customWidth="1"/>
    <col min="4870" max="4870" width="17.140625" style="2" customWidth="1"/>
    <col min="4871" max="4871" width="12" style="2" customWidth="1"/>
    <col min="4872" max="4872" width="10.7109375" style="2" customWidth="1"/>
    <col min="4873" max="4875" width="0" style="2" hidden="1" customWidth="1"/>
    <col min="4876" max="5103" width="9.140625" style="2"/>
    <col min="5104" max="5104" width="5.140625" style="2" customWidth="1"/>
    <col min="5105" max="5105" width="32.42578125" style="2" customWidth="1"/>
    <col min="5106" max="5108" width="10.28515625" style="2" customWidth="1"/>
    <col min="5109" max="5110" width="12.42578125" style="2" customWidth="1"/>
    <col min="5111" max="5111" width="11.28515625" style="2" customWidth="1"/>
    <col min="5112" max="5112" width="12.42578125" style="2" customWidth="1"/>
    <col min="5113" max="5113" width="11.28515625" style="2" customWidth="1"/>
    <col min="5114" max="5114" width="12.42578125" style="2" customWidth="1"/>
    <col min="5115" max="5115" width="11.28515625" style="2" customWidth="1"/>
    <col min="5116" max="5116" width="12.42578125" style="2" customWidth="1"/>
    <col min="5117" max="5117" width="11.28515625" style="2" customWidth="1"/>
    <col min="5118" max="5118" width="12.42578125" style="2" customWidth="1"/>
    <col min="5119" max="5119" width="11.28515625" style="2" customWidth="1"/>
    <col min="5120" max="5120" width="14.140625" style="2" customWidth="1"/>
    <col min="5121" max="5121" width="10.28515625" style="2" customWidth="1"/>
    <col min="5122" max="5122" width="17.140625" style="2" customWidth="1"/>
    <col min="5123" max="5123" width="12" style="2" customWidth="1"/>
    <col min="5124" max="5124" width="14.140625" style="2" customWidth="1"/>
    <col min="5125" max="5125" width="10.28515625" style="2" customWidth="1"/>
    <col min="5126" max="5126" width="17.140625" style="2" customWidth="1"/>
    <col min="5127" max="5127" width="12" style="2" customWidth="1"/>
    <col min="5128" max="5128" width="10.7109375" style="2" customWidth="1"/>
    <col min="5129" max="5131" width="0" style="2" hidden="1" customWidth="1"/>
    <col min="5132" max="5359" width="9.140625" style="2"/>
    <col min="5360" max="5360" width="5.140625" style="2" customWidth="1"/>
    <col min="5361" max="5361" width="32.42578125" style="2" customWidth="1"/>
    <col min="5362" max="5364" width="10.28515625" style="2" customWidth="1"/>
    <col min="5365" max="5366" width="12.42578125" style="2" customWidth="1"/>
    <col min="5367" max="5367" width="11.28515625" style="2" customWidth="1"/>
    <col min="5368" max="5368" width="12.42578125" style="2" customWidth="1"/>
    <col min="5369" max="5369" width="11.28515625" style="2" customWidth="1"/>
    <col min="5370" max="5370" width="12.42578125" style="2" customWidth="1"/>
    <col min="5371" max="5371" width="11.28515625" style="2" customWidth="1"/>
    <col min="5372" max="5372" width="12.42578125" style="2" customWidth="1"/>
    <col min="5373" max="5373" width="11.28515625" style="2" customWidth="1"/>
    <col min="5374" max="5374" width="12.42578125" style="2" customWidth="1"/>
    <col min="5375" max="5375" width="11.28515625" style="2" customWidth="1"/>
    <col min="5376" max="5376" width="14.140625" style="2" customWidth="1"/>
    <col min="5377" max="5377" width="10.28515625" style="2" customWidth="1"/>
    <col min="5378" max="5378" width="17.140625" style="2" customWidth="1"/>
    <col min="5379" max="5379" width="12" style="2" customWidth="1"/>
    <col min="5380" max="5380" width="14.140625" style="2" customWidth="1"/>
    <col min="5381" max="5381" width="10.28515625" style="2" customWidth="1"/>
    <col min="5382" max="5382" width="17.140625" style="2" customWidth="1"/>
    <col min="5383" max="5383" width="12" style="2" customWidth="1"/>
    <col min="5384" max="5384" width="10.7109375" style="2" customWidth="1"/>
    <col min="5385" max="5387" width="0" style="2" hidden="1" customWidth="1"/>
    <col min="5388" max="5615" width="9.140625" style="2"/>
    <col min="5616" max="5616" width="5.140625" style="2" customWidth="1"/>
    <col min="5617" max="5617" width="32.42578125" style="2" customWidth="1"/>
    <col min="5618" max="5620" width="10.28515625" style="2" customWidth="1"/>
    <col min="5621" max="5622" width="12.42578125" style="2" customWidth="1"/>
    <col min="5623" max="5623" width="11.28515625" style="2" customWidth="1"/>
    <col min="5624" max="5624" width="12.42578125" style="2" customWidth="1"/>
    <col min="5625" max="5625" width="11.28515625" style="2" customWidth="1"/>
    <col min="5626" max="5626" width="12.42578125" style="2" customWidth="1"/>
    <col min="5627" max="5627" width="11.28515625" style="2" customWidth="1"/>
    <col min="5628" max="5628" width="12.42578125" style="2" customWidth="1"/>
    <col min="5629" max="5629" width="11.28515625" style="2" customWidth="1"/>
    <col min="5630" max="5630" width="12.42578125" style="2" customWidth="1"/>
    <col min="5631" max="5631" width="11.28515625" style="2" customWidth="1"/>
    <col min="5632" max="5632" width="14.140625" style="2" customWidth="1"/>
    <col min="5633" max="5633" width="10.28515625" style="2" customWidth="1"/>
    <col min="5634" max="5634" width="17.140625" style="2" customWidth="1"/>
    <col min="5635" max="5635" width="12" style="2" customWidth="1"/>
    <col min="5636" max="5636" width="14.140625" style="2" customWidth="1"/>
    <col min="5637" max="5637" width="10.28515625" style="2" customWidth="1"/>
    <col min="5638" max="5638" width="17.140625" style="2" customWidth="1"/>
    <col min="5639" max="5639" width="12" style="2" customWidth="1"/>
    <col min="5640" max="5640" width="10.7109375" style="2" customWidth="1"/>
    <col min="5641" max="5643" width="0" style="2" hidden="1" customWidth="1"/>
    <col min="5644" max="5871" width="9.140625" style="2"/>
    <col min="5872" max="5872" width="5.140625" style="2" customWidth="1"/>
    <col min="5873" max="5873" width="32.42578125" style="2" customWidth="1"/>
    <col min="5874" max="5876" width="10.28515625" style="2" customWidth="1"/>
    <col min="5877" max="5878" width="12.42578125" style="2" customWidth="1"/>
    <col min="5879" max="5879" width="11.28515625" style="2" customWidth="1"/>
    <col min="5880" max="5880" width="12.42578125" style="2" customWidth="1"/>
    <col min="5881" max="5881" width="11.28515625" style="2" customWidth="1"/>
    <col min="5882" max="5882" width="12.42578125" style="2" customWidth="1"/>
    <col min="5883" max="5883" width="11.28515625" style="2" customWidth="1"/>
    <col min="5884" max="5884" width="12.42578125" style="2" customWidth="1"/>
    <col min="5885" max="5885" width="11.28515625" style="2" customWidth="1"/>
    <col min="5886" max="5886" width="12.42578125" style="2" customWidth="1"/>
    <col min="5887" max="5887" width="11.28515625" style="2" customWidth="1"/>
    <col min="5888" max="5888" width="14.140625" style="2" customWidth="1"/>
    <col min="5889" max="5889" width="10.28515625" style="2" customWidth="1"/>
    <col min="5890" max="5890" width="17.140625" style="2" customWidth="1"/>
    <col min="5891" max="5891" width="12" style="2" customWidth="1"/>
    <col min="5892" max="5892" width="14.140625" style="2" customWidth="1"/>
    <col min="5893" max="5893" width="10.28515625" style="2" customWidth="1"/>
    <col min="5894" max="5894" width="17.140625" style="2" customWidth="1"/>
    <col min="5895" max="5895" width="12" style="2" customWidth="1"/>
    <col min="5896" max="5896" width="10.7109375" style="2" customWidth="1"/>
    <col min="5897" max="5899" width="0" style="2" hidden="1" customWidth="1"/>
    <col min="5900" max="6127" width="9.140625" style="2"/>
    <col min="6128" max="6128" width="5.140625" style="2" customWidth="1"/>
    <col min="6129" max="6129" width="32.42578125" style="2" customWidth="1"/>
    <col min="6130" max="6132" width="10.28515625" style="2" customWidth="1"/>
    <col min="6133" max="6134" width="12.42578125" style="2" customWidth="1"/>
    <col min="6135" max="6135" width="11.28515625" style="2" customWidth="1"/>
    <col min="6136" max="6136" width="12.42578125" style="2" customWidth="1"/>
    <col min="6137" max="6137" width="11.28515625" style="2" customWidth="1"/>
    <col min="6138" max="6138" width="12.42578125" style="2" customWidth="1"/>
    <col min="6139" max="6139" width="11.28515625" style="2" customWidth="1"/>
    <col min="6140" max="6140" width="12.42578125" style="2" customWidth="1"/>
    <col min="6141" max="6141" width="11.28515625" style="2" customWidth="1"/>
    <col min="6142" max="6142" width="12.42578125" style="2" customWidth="1"/>
    <col min="6143" max="6143" width="11.28515625" style="2" customWidth="1"/>
    <col min="6144" max="6144" width="14.140625" style="2" customWidth="1"/>
    <col min="6145" max="6145" width="10.28515625" style="2" customWidth="1"/>
    <col min="6146" max="6146" width="17.140625" style="2" customWidth="1"/>
    <col min="6147" max="6147" width="12" style="2" customWidth="1"/>
    <col min="6148" max="6148" width="14.140625" style="2" customWidth="1"/>
    <col min="6149" max="6149" width="10.28515625" style="2" customWidth="1"/>
    <col min="6150" max="6150" width="17.140625" style="2" customWidth="1"/>
    <col min="6151" max="6151" width="12" style="2" customWidth="1"/>
    <col min="6152" max="6152" width="10.7109375" style="2" customWidth="1"/>
    <col min="6153" max="6155" width="0" style="2" hidden="1" customWidth="1"/>
    <col min="6156" max="6383" width="9.140625" style="2"/>
    <col min="6384" max="6384" width="5.140625" style="2" customWidth="1"/>
    <col min="6385" max="6385" width="32.42578125" style="2" customWidth="1"/>
    <col min="6386" max="6388" width="10.28515625" style="2" customWidth="1"/>
    <col min="6389" max="6390" width="12.42578125" style="2" customWidth="1"/>
    <col min="6391" max="6391" width="11.28515625" style="2" customWidth="1"/>
    <col min="6392" max="6392" width="12.42578125" style="2" customWidth="1"/>
    <col min="6393" max="6393" width="11.28515625" style="2" customWidth="1"/>
    <col min="6394" max="6394" width="12.42578125" style="2" customWidth="1"/>
    <col min="6395" max="6395" width="11.28515625" style="2" customWidth="1"/>
    <col min="6396" max="6396" width="12.42578125" style="2" customWidth="1"/>
    <col min="6397" max="6397" width="11.28515625" style="2" customWidth="1"/>
    <col min="6398" max="6398" width="12.42578125" style="2" customWidth="1"/>
    <col min="6399" max="6399" width="11.28515625" style="2" customWidth="1"/>
    <col min="6400" max="6400" width="14.140625" style="2" customWidth="1"/>
    <col min="6401" max="6401" width="10.28515625" style="2" customWidth="1"/>
    <col min="6402" max="6402" width="17.140625" style="2" customWidth="1"/>
    <col min="6403" max="6403" width="12" style="2" customWidth="1"/>
    <col min="6404" max="6404" width="14.140625" style="2" customWidth="1"/>
    <col min="6405" max="6405" width="10.28515625" style="2" customWidth="1"/>
    <col min="6406" max="6406" width="17.140625" style="2" customWidth="1"/>
    <col min="6407" max="6407" width="12" style="2" customWidth="1"/>
    <col min="6408" max="6408" width="10.7109375" style="2" customWidth="1"/>
    <col min="6409" max="6411" width="0" style="2" hidden="1" customWidth="1"/>
    <col min="6412" max="6639" width="9.140625" style="2"/>
    <col min="6640" max="6640" width="5.140625" style="2" customWidth="1"/>
    <col min="6641" max="6641" width="32.42578125" style="2" customWidth="1"/>
    <col min="6642" max="6644" width="10.28515625" style="2" customWidth="1"/>
    <col min="6645" max="6646" width="12.42578125" style="2" customWidth="1"/>
    <col min="6647" max="6647" width="11.28515625" style="2" customWidth="1"/>
    <col min="6648" max="6648" width="12.42578125" style="2" customWidth="1"/>
    <col min="6649" max="6649" width="11.28515625" style="2" customWidth="1"/>
    <col min="6650" max="6650" width="12.42578125" style="2" customWidth="1"/>
    <col min="6651" max="6651" width="11.28515625" style="2" customWidth="1"/>
    <col min="6652" max="6652" width="12.42578125" style="2" customWidth="1"/>
    <col min="6653" max="6653" width="11.28515625" style="2" customWidth="1"/>
    <col min="6654" max="6654" width="12.42578125" style="2" customWidth="1"/>
    <col min="6655" max="6655" width="11.28515625" style="2" customWidth="1"/>
    <col min="6656" max="6656" width="14.140625" style="2" customWidth="1"/>
    <col min="6657" max="6657" width="10.28515625" style="2" customWidth="1"/>
    <col min="6658" max="6658" width="17.140625" style="2" customWidth="1"/>
    <col min="6659" max="6659" width="12" style="2" customWidth="1"/>
    <col min="6660" max="6660" width="14.140625" style="2" customWidth="1"/>
    <col min="6661" max="6661" width="10.28515625" style="2" customWidth="1"/>
    <col min="6662" max="6662" width="17.140625" style="2" customWidth="1"/>
    <col min="6663" max="6663" width="12" style="2" customWidth="1"/>
    <col min="6664" max="6664" width="10.7109375" style="2" customWidth="1"/>
    <col min="6665" max="6667" width="0" style="2" hidden="1" customWidth="1"/>
    <col min="6668" max="6895" width="9.140625" style="2"/>
    <col min="6896" max="6896" width="5.140625" style="2" customWidth="1"/>
    <col min="6897" max="6897" width="32.42578125" style="2" customWidth="1"/>
    <col min="6898" max="6900" width="10.28515625" style="2" customWidth="1"/>
    <col min="6901" max="6902" width="12.42578125" style="2" customWidth="1"/>
    <col min="6903" max="6903" width="11.28515625" style="2" customWidth="1"/>
    <col min="6904" max="6904" width="12.42578125" style="2" customWidth="1"/>
    <col min="6905" max="6905" width="11.28515625" style="2" customWidth="1"/>
    <col min="6906" max="6906" width="12.42578125" style="2" customWidth="1"/>
    <col min="6907" max="6907" width="11.28515625" style="2" customWidth="1"/>
    <col min="6908" max="6908" width="12.42578125" style="2" customWidth="1"/>
    <col min="6909" max="6909" width="11.28515625" style="2" customWidth="1"/>
    <col min="6910" max="6910" width="12.42578125" style="2" customWidth="1"/>
    <col min="6911" max="6911" width="11.28515625" style="2" customWidth="1"/>
    <col min="6912" max="6912" width="14.140625" style="2" customWidth="1"/>
    <col min="6913" max="6913" width="10.28515625" style="2" customWidth="1"/>
    <col min="6914" max="6914" width="17.140625" style="2" customWidth="1"/>
    <col min="6915" max="6915" width="12" style="2" customWidth="1"/>
    <col min="6916" max="6916" width="14.140625" style="2" customWidth="1"/>
    <col min="6917" max="6917" width="10.28515625" style="2" customWidth="1"/>
    <col min="6918" max="6918" width="17.140625" style="2" customWidth="1"/>
    <col min="6919" max="6919" width="12" style="2" customWidth="1"/>
    <col min="6920" max="6920" width="10.7109375" style="2" customWidth="1"/>
    <col min="6921" max="6923" width="0" style="2" hidden="1" customWidth="1"/>
    <col min="6924" max="7151" width="9.140625" style="2"/>
    <col min="7152" max="7152" width="5.140625" style="2" customWidth="1"/>
    <col min="7153" max="7153" width="32.42578125" style="2" customWidth="1"/>
    <col min="7154" max="7156" width="10.28515625" style="2" customWidth="1"/>
    <col min="7157" max="7158" width="12.42578125" style="2" customWidth="1"/>
    <col min="7159" max="7159" width="11.28515625" style="2" customWidth="1"/>
    <col min="7160" max="7160" width="12.42578125" style="2" customWidth="1"/>
    <col min="7161" max="7161" width="11.28515625" style="2" customWidth="1"/>
    <col min="7162" max="7162" width="12.42578125" style="2" customWidth="1"/>
    <col min="7163" max="7163" width="11.28515625" style="2" customWidth="1"/>
    <col min="7164" max="7164" width="12.42578125" style="2" customWidth="1"/>
    <col min="7165" max="7165" width="11.28515625" style="2" customWidth="1"/>
    <col min="7166" max="7166" width="12.42578125" style="2" customWidth="1"/>
    <col min="7167" max="7167" width="11.28515625" style="2" customWidth="1"/>
    <col min="7168" max="7168" width="14.140625" style="2" customWidth="1"/>
    <col min="7169" max="7169" width="10.28515625" style="2" customWidth="1"/>
    <col min="7170" max="7170" width="17.140625" style="2" customWidth="1"/>
    <col min="7171" max="7171" width="12" style="2" customWidth="1"/>
    <col min="7172" max="7172" width="14.140625" style="2" customWidth="1"/>
    <col min="7173" max="7173" width="10.28515625" style="2" customWidth="1"/>
    <col min="7174" max="7174" width="17.140625" style="2" customWidth="1"/>
    <col min="7175" max="7175" width="12" style="2" customWidth="1"/>
    <col min="7176" max="7176" width="10.7109375" style="2" customWidth="1"/>
    <col min="7177" max="7179" width="0" style="2" hidden="1" customWidth="1"/>
    <col min="7180" max="7407" width="9.140625" style="2"/>
    <col min="7408" max="7408" width="5.140625" style="2" customWidth="1"/>
    <col min="7409" max="7409" width="32.42578125" style="2" customWidth="1"/>
    <col min="7410" max="7412" width="10.28515625" style="2" customWidth="1"/>
    <col min="7413" max="7414" width="12.42578125" style="2" customWidth="1"/>
    <col min="7415" max="7415" width="11.28515625" style="2" customWidth="1"/>
    <col min="7416" max="7416" width="12.42578125" style="2" customWidth="1"/>
    <col min="7417" max="7417" width="11.28515625" style="2" customWidth="1"/>
    <col min="7418" max="7418" width="12.42578125" style="2" customWidth="1"/>
    <col min="7419" max="7419" width="11.28515625" style="2" customWidth="1"/>
    <col min="7420" max="7420" width="12.42578125" style="2" customWidth="1"/>
    <col min="7421" max="7421" width="11.28515625" style="2" customWidth="1"/>
    <col min="7422" max="7422" width="12.42578125" style="2" customWidth="1"/>
    <col min="7423" max="7423" width="11.28515625" style="2" customWidth="1"/>
    <col min="7424" max="7424" width="14.140625" style="2" customWidth="1"/>
    <col min="7425" max="7425" width="10.28515625" style="2" customWidth="1"/>
    <col min="7426" max="7426" width="17.140625" style="2" customWidth="1"/>
    <col min="7427" max="7427" width="12" style="2" customWidth="1"/>
    <col min="7428" max="7428" width="14.140625" style="2" customWidth="1"/>
    <col min="7429" max="7429" width="10.28515625" style="2" customWidth="1"/>
    <col min="7430" max="7430" width="17.140625" style="2" customWidth="1"/>
    <col min="7431" max="7431" width="12" style="2" customWidth="1"/>
    <col min="7432" max="7432" width="10.7109375" style="2" customWidth="1"/>
    <col min="7433" max="7435" width="0" style="2" hidden="1" customWidth="1"/>
    <col min="7436" max="7663" width="9.140625" style="2"/>
    <col min="7664" max="7664" width="5.140625" style="2" customWidth="1"/>
    <col min="7665" max="7665" width="32.42578125" style="2" customWidth="1"/>
    <col min="7666" max="7668" width="10.28515625" style="2" customWidth="1"/>
    <col min="7669" max="7670" width="12.42578125" style="2" customWidth="1"/>
    <col min="7671" max="7671" width="11.28515625" style="2" customWidth="1"/>
    <col min="7672" max="7672" width="12.42578125" style="2" customWidth="1"/>
    <col min="7673" max="7673" width="11.28515625" style="2" customWidth="1"/>
    <col min="7674" max="7674" width="12.42578125" style="2" customWidth="1"/>
    <col min="7675" max="7675" width="11.28515625" style="2" customWidth="1"/>
    <col min="7676" max="7676" width="12.42578125" style="2" customWidth="1"/>
    <col min="7677" max="7677" width="11.28515625" style="2" customWidth="1"/>
    <col min="7678" max="7678" width="12.42578125" style="2" customWidth="1"/>
    <col min="7679" max="7679" width="11.28515625" style="2" customWidth="1"/>
    <col min="7680" max="7680" width="14.140625" style="2" customWidth="1"/>
    <col min="7681" max="7681" width="10.28515625" style="2" customWidth="1"/>
    <col min="7682" max="7682" width="17.140625" style="2" customWidth="1"/>
    <col min="7683" max="7683" width="12" style="2" customWidth="1"/>
    <col min="7684" max="7684" width="14.140625" style="2" customWidth="1"/>
    <col min="7685" max="7685" width="10.28515625" style="2" customWidth="1"/>
    <col min="7686" max="7686" width="17.140625" style="2" customWidth="1"/>
    <col min="7687" max="7687" width="12" style="2" customWidth="1"/>
    <col min="7688" max="7688" width="10.7109375" style="2" customWidth="1"/>
    <col min="7689" max="7691" width="0" style="2" hidden="1" customWidth="1"/>
    <col min="7692" max="7919" width="9.140625" style="2"/>
    <col min="7920" max="7920" width="5.140625" style="2" customWidth="1"/>
    <col min="7921" max="7921" width="32.42578125" style="2" customWidth="1"/>
    <col min="7922" max="7924" width="10.28515625" style="2" customWidth="1"/>
    <col min="7925" max="7926" width="12.42578125" style="2" customWidth="1"/>
    <col min="7927" max="7927" width="11.28515625" style="2" customWidth="1"/>
    <col min="7928" max="7928" width="12.42578125" style="2" customWidth="1"/>
    <col min="7929" max="7929" width="11.28515625" style="2" customWidth="1"/>
    <col min="7930" max="7930" width="12.42578125" style="2" customWidth="1"/>
    <col min="7931" max="7931" width="11.28515625" style="2" customWidth="1"/>
    <col min="7932" max="7932" width="12.42578125" style="2" customWidth="1"/>
    <col min="7933" max="7933" width="11.28515625" style="2" customWidth="1"/>
    <col min="7934" max="7934" width="12.42578125" style="2" customWidth="1"/>
    <col min="7935" max="7935" width="11.28515625" style="2" customWidth="1"/>
    <col min="7936" max="7936" width="14.140625" style="2" customWidth="1"/>
    <col min="7937" max="7937" width="10.28515625" style="2" customWidth="1"/>
    <col min="7938" max="7938" width="17.140625" style="2" customWidth="1"/>
    <col min="7939" max="7939" width="12" style="2" customWidth="1"/>
    <col min="7940" max="7940" width="14.140625" style="2" customWidth="1"/>
    <col min="7941" max="7941" width="10.28515625" style="2" customWidth="1"/>
    <col min="7942" max="7942" width="17.140625" style="2" customWidth="1"/>
    <col min="7943" max="7943" width="12" style="2" customWidth="1"/>
    <col min="7944" max="7944" width="10.7109375" style="2" customWidth="1"/>
    <col min="7945" max="7947" width="0" style="2" hidden="1" customWidth="1"/>
    <col min="7948" max="8175" width="9.140625" style="2"/>
    <col min="8176" max="8176" width="5.140625" style="2" customWidth="1"/>
    <col min="8177" max="8177" width="32.42578125" style="2" customWidth="1"/>
    <col min="8178" max="8180" width="10.28515625" style="2" customWidth="1"/>
    <col min="8181" max="8182" width="12.42578125" style="2" customWidth="1"/>
    <col min="8183" max="8183" width="11.28515625" style="2" customWidth="1"/>
    <col min="8184" max="8184" width="12.42578125" style="2" customWidth="1"/>
    <col min="8185" max="8185" width="11.28515625" style="2" customWidth="1"/>
    <col min="8186" max="8186" width="12.42578125" style="2" customWidth="1"/>
    <col min="8187" max="8187" width="11.28515625" style="2" customWidth="1"/>
    <col min="8188" max="8188" width="12.42578125" style="2" customWidth="1"/>
    <col min="8189" max="8189" width="11.28515625" style="2" customWidth="1"/>
    <col min="8190" max="8190" width="12.42578125" style="2" customWidth="1"/>
    <col min="8191" max="8191" width="11.28515625" style="2" customWidth="1"/>
    <col min="8192" max="8192" width="14.140625" style="2" customWidth="1"/>
    <col min="8193" max="8193" width="10.28515625" style="2" customWidth="1"/>
    <col min="8194" max="8194" width="17.140625" style="2" customWidth="1"/>
    <col min="8195" max="8195" width="12" style="2" customWidth="1"/>
    <col min="8196" max="8196" width="14.140625" style="2" customWidth="1"/>
    <col min="8197" max="8197" width="10.28515625" style="2" customWidth="1"/>
    <col min="8198" max="8198" width="17.140625" style="2" customWidth="1"/>
    <col min="8199" max="8199" width="12" style="2" customWidth="1"/>
    <col min="8200" max="8200" width="10.7109375" style="2" customWidth="1"/>
    <col min="8201" max="8203" width="0" style="2" hidden="1" customWidth="1"/>
    <col min="8204" max="8431" width="9.140625" style="2"/>
    <col min="8432" max="8432" width="5.140625" style="2" customWidth="1"/>
    <col min="8433" max="8433" width="32.42578125" style="2" customWidth="1"/>
    <col min="8434" max="8436" width="10.28515625" style="2" customWidth="1"/>
    <col min="8437" max="8438" width="12.42578125" style="2" customWidth="1"/>
    <col min="8439" max="8439" width="11.28515625" style="2" customWidth="1"/>
    <col min="8440" max="8440" width="12.42578125" style="2" customWidth="1"/>
    <col min="8441" max="8441" width="11.28515625" style="2" customWidth="1"/>
    <col min="8442" max="8442" width="12.42578125" style="2" customWidth="1"/>
    <col min="8443" max="8443" width="11.28515625" style="2" customWidth="1"/>
    <col min="8444" max="8444" width="12.42578125" style="2" customWidth="1"/>
    <col min="8445" max="8445" width="11.28515625" style="2" customWidth="1"/>
    <col min="8446" max="8446" width="12.42578125" style="2" customWidth="1"/>
    <col min="8447" max="8447" width="11.28515625" style="2" customWidth="1"/>
    <col min="8448" max="8448" width="14.140625" style="2" customWidth="1"/>
    <col min="8449" max="8449" width="10.28515625" style="2" customWidth="1"/>
    <col min="8450" max="8450" width="17.140625" style="2" customWidth="1"/>
    <col min="8451" max="8451" width="12" style="2" customWidth="1"/>
    <col min="8452" max="8452" width="14.140625" style="2" customWidth="1"/>
    <col min="8453" max="8453" width="10.28515625" style="2" customWidth="1"/>
    <col min="8454" max="8454" width="17.140625" style="2" customWidth="1"/>
    <col min="8455" max="8455" width="12" style="2" customWidth="1"/>
    <col min="8456" max="8456" width="10.7109375" style="2" customWidth="1"/>
    <col min="8457" max="8459" width="0" style="2" hidden="1" customWidth="1"/>
    <col min="8460" max="8687" width="9.140625" style="2"/>
    <col min="8688" max="8688" width="5.140625" style="2" customWidth="1"/>
    <col min="8689" max="8689" width="32.42578125" style="2" customWidth="1"/>
    <col min="8690" max="8692" width="10.28515625" style="2" customWidth="1"/>
    <col min="8693" max="8694" width="12.42578125" style="2" customWidth="1"/>
    <col min="8695" max="8695" width="11.28515625" style="2" customWidth="1"/>
    <col min="8696" max="8696" width="12.42578125" style="2" customWidth="1"/>
    <col min="8697" max="8697" width="11.28515625" style="2" customWidth="1"/>
    <col min="8698" max="8698" width="12.42578125" style="2" customWidth="1"/>
    <col min="8699" max="8699" width="11.28515625" style="2" customWidth="1"/>
    <col min="8700" max="8700" width="12.42578125" style="2" customWidth="1"/>
    <col min="8701" max="8701" width="11.28515625" style="2" customWidth="1"/>
    <col min="8702" max="8702" width="12.42578125" style="2" customWidth="1"/>
    <col min="8703" max="8703" width="11.28515625" style="2" customWidth="1"/>
    <col min="8704" max="8704" width="14.140625" style="2" customWidth="1"/>
    <col min="8705" max="8705" width="10.28515625" style="2" customWidth="1"/>
    <col min="8706" max="8706" width="17.140625" style="2" customWidth="1"/>
    <col min="8707" max="8707" width="12" style="2" customWidth="1"/>
    <col min="8708" max="8708" width="14.140625" style="2" customWidth="1"/>
    <col min="8709" max="8709" width="10.28515625" style="2" customWidth="1"/>
    <col min="8710" max="8710" width="17.140625" style="2" customWidth="1"/>
    <col min="8711" max="8711" width="12" style="2" customWidth="1"/>
    <col min="8712" max="8712" width="10.7109375" style="2" customWidth="1"/>
    <col min="8713" max="8715" width="0" style="2" hidden="1" customWidth="1"/>
    <col min="8716" max="8943" width="9.140625" style="2"/>
    <col min="8944" max="8944" width="5.140625" style="2" customWidth="1"/>
    <col min="8945" max="8945" width="32.42578125" style="2" customWidth="1"/>
    <col min="8946" max="8948" width="10.28515625" style="2" customWidth="1"/>
    <col min="8949" max="8950" width="12.42578125" style="2" customWidth="1"/>
    <col min="8951" max="8951" width="11.28515625" style="2" customWidth="1"/>
    <col min="8952" max="8952" width="12.42578125" style="2" customWidth="1"/>
    <col min="8953" max="8953" width="11.28515625" style="2" customWidth="1"/>
    <col min="8954" max="8954" width="12.42578125" style="2" customWidth="1"/>
    <col min="8955" max="8955" width="11.28515625" style="2" customWidth="1"/>
    <col min="8956" max="8956" width="12.42578125" style="2" customWidth="1"/>
    <col min="8957" max="8957" width="11.28515625" style="2" customWidth="1"/>
    <col min="8958" max="8958" width="12.42578125" style="2" customWidth="1"/>
    <col min="8959" max="8959" width="11.28515625" style="2" customWidth="1"/>
    <col min="8960" max="8960" width="14.140625" style="2" customWidth="1"/>
    <col min="8961" max="8961" width="10.28515625" style="2" customWidth="1"/>
    <col min="8962" max="8962" width="17.140625" style="2" customWidth="1"/>
    <col min="8963" max="8963" width="12" style="2" customWidth="1"/>
    <col min="8964" max="8964" width="14.140625" style="2" customWidth="1"/>
    <col min="8965" max="8965" width="10.28515625" style="2" customWidth="1"/>
    <col min="8966" max="8966" width="17.140625" style="2" customWidth="1"/>
    <col min="8967" max="8967" width="12" style="2" customWidth="1"/>
    <col min="8968" max="8968" width="10.7109375" style="2" customWidth="1"/>
    <col min="8969" max="8971" width="0" style="2" hidden="1" customWidth="1"/>
    <col min="8972" max="9199" width="9.140625" style="2"/>
    <col min="9200" max="9200" width="5.140625" style="2" customWidth="1"/>
    <col min="9201" max="9201" width="32.42578125" style="2" customWidth="1"/>
    <col min="9202" max="9204" width="10.28515625" style="2" customWidth="1"/>
    <col min="9205" max="9206" width="12.42578125" style="2" customWidth="1"/>
    <col min="9207" max="9207" width="11.28515625" style="2" customWidth="1"/>
    <col min="9208" max="9208" width="12.42578125" style="2" customWidth="1"/>
    <col min="9209" max="9209" width="11.28515625" style="2" customWidth="1"/>
    <col min="9210" max="9210" width="12.42578125" style="2" customWidth="1"/>
    <col min="9211" max="9211" width="11.28515625" style="2" customWidth="1"/>
    <col min="9212" max="9212" width="12.42578125" style="2" customWidth="1"/>
    <col min="9213" max="9213" width="11.28515625" style="2" customWidth="1"/>
    <col min="9214" max="9214" width="12.42578125" style="2" customWidth="1"/>
    <col min="9215" max="9215" width="11.28515625" style="2" customWidth="1"/>
    <col min="9216" max="9216" width="14.140625" style="2" customWidth="1"/>
    <col min="9217" max="9217" width="10.28515625" style="2" customWidth="1"/>
    <col min="9218" max="9218" width="17.140625" style="2" customWidth="1"/>
    <col min="9219" max="9219" width="12" style="2" customWidth="1"/>
    <col min="9220" max="9220" width="14.140625" style="2" customWidth="1"/>
    <col min="9221" max="9221" width="10.28515625" style="2" customWidth="1"/>
    <col min="9222" max="9222" width="17.140625" style="2" customWidth="1"/>
    <col min="9223" max="9223" width="12" style="2" customWidth="1"/>
    <col min="9224" max="9224" width="10.7109375" style="2" customWidth="1"/>
    <col min="9225" max="9227" width="0" style="2" hidden="1" customWidth="1"/>
    <col min="9228" max="9455" width="9.140625" style="2"/>
    <col min="9456" max="9456" width="5.140625" style="2" customWidth="1"/>
    <col min="9457" max="9457" width="32.42578125" style="2" customWidth="1"/>
    <col min="9458" max="9460" width="10.28515625" style="2" customWidth="1"/>
    <col min="9461" max="9462" width="12.42578125" style="2" customWidth="1"/>
    <col min="9463" max="9463" width="11.28515625" style="2" customWidth="1"/>
    <col min="9464" max="9464" width="12.42578125" style="2" customWidth="1"/>
    <col min="9465" max="9465" width="11.28515625" style="2" customWidth="1"/>
    <col min="9466" max="9466" width="12.42578125" style="2" customWidth="1"/>
    <col min="9467" max="9467" width="11.28515625" style="2" customWidth="1"/>
    <col min="9468" max="9468" width="12.42578125" style="2" customWidth="1"/>
    <col min="9469" max="9469" width="11.28515625" style="2" customWidth="1"/>
    <col min="9470" max="9470" width="12.42578125" style="2" customWidth="1"/>
    <col min="9471" max="9471" width="11.28515625" style="2" customWidth="1"/>
    <col min="9472" max="9472" width="14.140625" style="2" customWidth="1"/>
    <col min="9473" max="9473" width="10.28515625" style="2" customWidth="1"/>
    <col min="9474" max="9474" width="17.140625" style="2" customWidth="1"/>
    <col min="9475" max="9475" width="12" style="2" customWidth="1"/>
    <col min="9476" max="9476" width="14.140625" style="2" customWidth="1"/>
    <col min="9477" max="9477" width="10.28515625" style="2" customWidth="1"/>
    <col min="9478" max="9478" width="17.140625" style="2" customWidth="1"/>
    <col min="9479" max="9479" width="12" style="2" customWidth="1"/>
    <col min="9480" max="9480" width="10.7109375" style="2" customWidth="1"/>
    <col min="9481" max="9483" width="0" style="2" hidden="1" customWidth="1"/>
    <col min="9484" max="9711" width="9.140625" style="2"/>
    <col min="9712" max="9712" width="5.140625" style="2" customWidth="1"/>
    <col min="9713" max="9713" width="32.42578125" style="2" customWidth="1"/>
    <col min="9714" max="9716" width="10.28515625" style="2" customWidth="1"/>
    <col min="9717" max="9718" width="12.42578125" style="2" customWidth="1"/>
    <col min="9719" max="9719" width="11.28515625" style="2" customWidth="1"/>
    <col min="9720" max="9720" width="12.42578125" style="2" customWidth="1"/>
    <col min="9721" max="9721" width="11.28515625" style="2" customWidth="1"/>
    <col min="9722" max="9722" width="12.42578125" style="2" customWidth="1"/>
    <col min="9723" max="9723" width="11.28515625" style="2" customWidth="1"/>
    <col min="9724" max="9724" width="12.42578125" style="2" customWidth="1"/>
    <col min="9725" max="9725" width="11.28515625" style="2" customWidth="1"/>
    <col min="9726" max="9726" width="12.42578125" style="2" customWidth="1"/>
    <col min="9727" max="9727" width="11.28515625" style="2" customWidth="1"/>
    <col min="9728" max="9728" width="14.140625" style="2" customWidth="1"/>
    <col min="9729" max="9729" width="10.28515625" style="2" customWidth="1"/>
    <col min="9730" max="9730" width="17.140625" style="2" customWidth="1"/>
    <col min="9731" max="9731" width="12" style="2" customWidth="1"/>
    <col min="9732" max="9732" width="14.140625" style="2" customWidth="1"/>
    <col min="9733" max="9733" width="10.28515625" style="2" customWidth="1"/>
    <col min="9734" max="9734" width="17.140625" style="2" customWidth="1"/>
    <col min="9735" max="9735" width="12" style="2" customWidth="1"/>
    <col min="9736" max="9736" width="10.7109375" style="2" customWidth="1"/>
    <col min="9737" max="9739" width="0" style="2" hidden="1" customWidth="1"/>
    <col min="9740" max="9967" width="9.140625" style="2"/>
    <col min="9968" max="9968" width="5.140625" style="2" customWidth="1"/>
    <col min="9969" max="9969" width="32.42578125" style="2" customWidth="1"/>
    <col min="9970" max="9972" width="10.28515625" style="2" customWidth="1"/>
    <col min="9973" max="9974" width="12.42578125" style="2" customWidth="1"/>
    <col min="9975" max="9975" width="11.28515625" style="2" customWidth="1"/>
    <col min="9976" max="9976" width="12.42578125" style="2" customWidth="1"/>
    <col min="9977" max="9977" width="11.28515625" style="2" customWidth="1"/>
    <col min="9978" max="9978" width="12.42578125" style="2" customWidth="1"/>
    <col min="9979" max="9979" width="11.28515625" style="2" customWidth="1"/>
    <col min="9980" max="9980" width="12.42578125" style="2" customWidth="1"/>
    <col min="9981" max="9981" width="11.28515625" style="2" customWidth="1"/>
    <col min="9982" max="9982" width="12.42578125" style="2" customWidth="1"/>
    <col min="9983" max="9983" width="11.28515625" style="2" customWidth="1"/>
    <col min="9984" max="9984" width="14.140625" style="2" customWidth="1"/>
    <col min="9985" max="9985" width="10.28515625" style="2" customWidth="1"/>
    <col min="9986" max="9986" width="17.140625" style="2" customWidth="1"/>
    <col min="9987" max="9987" width="12" style="2" customWidth="1"/>
    <col min="9988" max="9988" width="14.140625" style="2" customWidth="1"/>
    <col min="9989" max="9989" width="10.28515625" style="2" customWidth="1"/>
    <col min="9990" max="9990" width="17.140625" style="2" customWidth="1"/>
    <col min="9991" max="9991" width="12" style="2" customWidth="1"/>
    <col min="9992" max="9992" width="10.7109375" style="2" customWidth="1"/>
    <col min="9993" max="9995" width="0" style="2" hidden="1" customWidth="1"/>
    <col min="9996" max="10223" width="9.140625" style="2"/>
    <col min="10224" max="10224" width="5.140625" style="2" customWidth="1"/>
    <col min="10225" max="10225" width="32.42578125" style="2" customWidth="1"/>
    <col min="10226" max="10228" width="10.28515625" style="2" customWidth="1"/>
    <col min="10229" max="10230" width="12.42578125" style="2" customWidth="1"/>
    <col min="10231" max="10231" width="11.28515625" style="2" customWidth="1"/>
    <col min="10232" max="10232" width="12.42578125" style="2" customWidth="1"/>
    <col min="10233" max="10233" width="11.28515625" style="2" customWidth="1"/>
    <col min="10234" max="10234" width="12.42578125" style="2" customWidth="1"/>
    <col min="10235" max="10235" width="11.28515625" style="2" customWidth="1"/>
    <col min="10236" max="10236" width="12.42578125" style="2" customWidth="1"/>
    <col min="10237" max="10237" width="11.28515625" style="2" customWidth="1"/>
    <col min="10238" max="10238" width="12.42578125" style="2" customWidth="1"/>
    <col min="10239" max="10239" width="11.28515625" style="2" customWidth="1"/>
    <col min="10240" max="10240" width="14.140625" style="2" customWidth="1"/>
    <col min="10241" max="10241" width="10.28515625" style="2" customWidth="1"/>
    <col min="10242" max="10242" width="17.140625" style="2" customWidth="1"/>
    <col min="10243" max="10243" width="12" style="2" customWidth="1"/>
    <col min="10244" max="10244" width="14.140625" style="2" customWidth="1"/>
    <col min="10245" max="10245" width="10.28515625" style="2" customWidth="1"/>
    <col min="10246" max="10246" width="17.140625" style="2" customWidth="1"/>
    <col min="10247" max="10247" width="12" style="2" customWidth="1"/>
    <col min="10248" max="10248" width="10.7109375" style="2" customWidth="1"/>
    <col min="10249" max="10251" width="0" style="2" hidden="1" customWidth="1"/>
    <col min="10252" max="10479" width="9.140625" style="2"/>
    <col min="10480" max="10480" width="5.140625" style="2" customWidth="1"/>
    <col min="10481" max="10481" width="32.42578125" style="2" customWidth="1"/>
    <col min="10482" max="10484" width="10.28515625" style="2" customWidth="1"/>
    <col min="10485" max="10486" width="12.42578125" style="2" customWidth="1"/>
    <col min="10487" max="10487" width="11.28515625" style="2" customWidth="1"/>
    <col min="10488" max="10488" width="12.42578125" style="2" customWidth="1"/>
    <col min="10489" max="10489" width="11.28515625" style="2" customWidth="1"/>
    <col min="10490" max="10490" width="12.42578125" style="2" customWidth="1"/>
    <col min="10491" max="10491" width="11.28515625" style="2" customWidth="1"/>
    <col min="10492" max="10492" width="12.42578125" style="2" customWidth="1"/>
    <col min="10493" max="10493" width="11.28515625" style="2" customWidth="1"/>
    <col min="10494" max="10494" width="12.42578125" style="2" customWidth="1"/>
    <col min="10495" max="10495" width="11.28515625" style="2" customWidth="1"/>
    <col min="10496" max="10496" width="14.140625" style="2" customWidth="1"/>
    <col min="10497" max="10497" width="10.28515625" style="2" customWidth="1"/>
    <col min="10498" max="10498" width="17.140625" style="2" customWidth="1"/>
    <col min="10499" max="10499" width="12" style="2" customWidth="1"/>
    <col min="10500" max="10500" width="14.140625" style="2" customWidth="1"/>
    <col min="10501" max="10501" width="10.28515625" style="2" customWidth="1"/>
    <col min="10502" max="10502" width="17.140625" style="2" customWidth="1"/>
    <col min="10503" max="10503" width="12" style="2" customWidth="1"/>
    <col min="10504" max="10504" width="10.7109375" style="2" customWidth="1"/>
    <col min="10505" max="10507" width="0" style="2" hidden="1" customWidth="1"/>
    <col min="10508" max="10735" width="9.140625" style="2"/>
    <col min="10736" max="10736" width="5.140625" style="2" customWidth="1"/>
    <col min="10737" max="10737" width="32.42578125" style="2" customWidth="1"/>
    <col min="10738" max="10740" width="10.28515625" style="2" customWidth="1"/>
    <col min="10741" max="10742" width="12.42578125" style="2" customWidth="1"/>
    <col min="10743" max="10743" width="11.28515625" style="2" customWidth="1"/>
    <col min="10744" max="10744" width="12.42578125" style="2" customWidth="1"/>
    <col min="10745" max="10745" width="11.28515625" style="2" customWidth="1"/>
    <col min="10746" max="10746" width="12.42578125" style="2" customWidth="1"/>
    <col min="10747" max="10747" width="11.28515625" style="2" customWidth="1"/>
    <col min="10748" max="10748" width="12.42578125" style="2" customWidth="1"/>
    <col min="10749" max="10749" width="11.28515625" style="2" customWidth="1"/>
    <col min="10750" max="10750" width="12.42578125" style="2" customWidth="1"/>
    <col min="10751" max="10751" width="11.28515625" style="2" customWidth="1"/>
    <col min="10752" max="10752" width="14.140625" style="2" customWidth="1"/>
    <col min="10753" max="10753" width="10.28515625" style="2" customWidth="1"/>
    <col min="10754" max="10754" width="17.140625" style="2" customWidth="1"/>
    <col min="10755" max="10755" width="12" style="2" customWidth="1"/>
    <col min="10756" max="10756" width="14.140625" style="2" customWidth="1"/>
    <col min="10757" max="10757" width="10.28515625" style="2" customWidth="1"/>
    <col min="10758" max="10758" width="17.140625" style="2" customWidth="1"/>
    <col min="10759" max="10759" width="12" style="2" customWidth="1"/>
    <col min="10760" max="10760" width="10.7109375" style="2" customWidth="1"/>
    <col min="10761" max="10763" width="0" style="2" hidden="1" customWidth="1"/>
    <col min="10764" max="10991" width="9.140625" style="2"/>
    <col min="10992" max="10992" width="5.140625" style="2" customWidth="1"/>
    <col min="10993" max="10993" width="32.42578125" style="2" customWidth="1"/>
    <col min="10994" max="10996" width="10.28515625" style="2" customWidth="1"/>
    <col min="10997" max="10998" width="12.42578125" style="2" customWidth="1"/>
    <col min="10999" max="10999" width="11.28515625" style="2" customWidth="1"/>
    <col min="11000" max="11000" width="12.42578125" style="2" customWidth="1"/>
    <col min="11001" max="11001" width="11.28515625" style="2" customWidth="1"/>
    <col min="11002" max="11002" width="12.42578125" style="2" customWidth="1"/>
    <col min="11003" max="11003" width="11.28515625" style="2" customWidth="1"/>
    <col min="11004" max="11004" width="12.42578125" style="2" customWidth="1"/>
    <col min="11005" max="11005" width="11.28515625" style="2" customWidth="1"/>
    <col min="11006" max="11006" width="12.42578125" style="2" customWidth="1"/>
    <col min="11007" max="11007" width="11.28515625" style="2" customWidth="1"/>
    <col min="11008" max="11008" width="14.140625" style="2" customWidth="1"/>
    <col min="11009" max="11009" width="10.28515625" style="2" customWidth="1"/>
    <col min="11010" max="11010" width="17.140625" style="2" customWidth="1"/>
    <col min="11011" max="11011" width="12" style="2" customWidth="1"/>
    <col min="11012" max="11012" width="14.140625" style="2" customWidth="1"/>
    <col min="11013" max="11013" width="10.28515625" style="2" customWidth="1"/>
    <col min="11014" max="11014" width="17.140625" style="2" customWidth="1"/>
    <col min="11015" max="11015" width="12" style="2" customWidth="1"/>
    <col min="11016" max="11016" width="10.7109375" style="2" customWidth="1"/>
    <col min="11017" max="11019" width="0" style="2" hidden="1" customWidth="1"/>
    <col min="11020" max="11247" width="9.140625" style="2"/>
    <col min="11248" max="11248" width="5.140625" style="2" customWidth="1"/>
    <col min="11249" max="11249" width="32.42578125" style="2" customWidth="1"/>
    <col min="11250" max="11252" width="10.28515625" style="2" customWidth="1"/>
    <col min="11253" max="11254" width="12.42578125" style="2" customWidth="1"/>
    <col min="11255" max="11255" width="11.28515625" style="2" customWidth="1"/>
    <col min="11256" max="11256" width="12.42578125" style="2" customWidth="1"/>
    <col min="11257" max="11257" width="11.28515625" style="2" customWidth="1"/>
    <col min="11258" max="11258" width="12.42578125" style="2" customWidth="1"/>
    <col min="11259" max="11259" width="11.28515625" style="2" customWidth="1"/>
    <col min="11260" max="11260" width="12.42578125" style="2" customWidth="1"/>
    <col min="11261" max="11261" width="11.28515625" style="2" customWidth="1"/>
    <col min="11262" max="11262" width="12.42578125" style="2" customWidth="1"/>
    <col min="11263" max="11263" width="11.28515625" style="2" customWidth="1"/>
    <col min="11264" max="11264" width="14.140625" style="2" customWidth="1"/>
    <col min="11265" max="11265" width="10.28515625" style="2" customWidth="1"/>
    <col min="11266" max="11266" width="17.140625" style="2" customWidth="1"/>
    <col min="11267" max="11267" width="12" style="2" customWidth="1"/>
    <col min="11268" max="11268" width="14.140625" style="2" customWidth="1"/>
    <col min="11269" max="11269" width="10.28515625" style="2" customWidth="1"/>
    <col min="11270" max="11270" width="17.140625" style="2" customWidth="1"/>
    <col min="11271" max="11271" width="12" style="2" customWidth="1"/>
    <col min="11272" max="11272" width="10.7109375" style="2" customWidth="1"/>
    <col min="11273" max="11275" width="0" style="2" hidden="1" customWidth="1"/>
    <col min="11276" max="11503" width="9.140625" style="2"/>
    <col min="11504" max="11504" width="5.140625" style="2" customWidth="1"/>
    <col min="11505" max="11505" width="32.42578125" style="2" customWidth="1"/>
    <col min="11506" max="11508" width="10.28515625" style="2" customWidth="1"/>
    <col min="11509" max="11510" width="12.42578125" style="2" customWidth="1"/>
    <col min="11511" max="11511" width="11.28515625" style="2" customWidth="1"/>
    <col min="11512" max="11512" width="12.42578125" style="2" customWidth="1"/>
    <col min="11513" max="11513" width="11.28515625" style="2" customWidth="1"/>
    <col min="11514" max="11514" width="12.42578125" style="2" customWidth="1"/>
    <col min="11515" max="11515" width="11.28515625" style="2" customWidth="1"/>
    <col min="11516" max="11516" width="12.42578125" style="2" customWidth="1"/>
    <col min="11517" max="11517" width="11.28515625" style="2" customWidth="1"/>
    <col min="11518" max="11518" width="12.42578125" style="2" customWidth="1"/>
    <col min="11519" max="11519" width="11.28515625" style="2" customWidth="1"/>
    <col min="11520" max="11520" width="14.140625" style="2" customWidth="1"/>
    <col min="11521" max="11521" width="10.28515625" style="2" customWidth="1"/>
    <col min="11522" max="11522" width="17.140625" style="2" customWidth="1"/>
    <col min="11523" max="11523" width="12" style="2" customWidth="1"/>
    <col min="11524" max="11524" width="14.140625" style="2" customWidth="1"/>
    <col min="11525" max="11525" width="10.28515625" style="2" customWidth="1"/>
    <col min="11526" max="11526" width="17.140625" style="2" customWidth="1"/>
    <col min="11527" max="11527" width="12" style="2" customWidth="1"/>
    <col min="11528" max="11528" width="10.7109375" style="2" customWidth="1"/>
    <col min="11529" max="11531" width="0" style="2" hidden="1" customWidth="1"/>
    <col min="11532" max="11759" width="9.140625" style="2"/>
    <col min="11760" max="11760" width="5.140625" style="2" customWidth="1"/>
    <col min="11761" max="11761" width="32.42578125" style="2" customWidth="1"/>
    <col min="11762" max="11764" width="10.28515625" style="2" customWidth="1"/>
    <col min="11765" max="11766" width="12.42578125" style="2" customWidth="1"/>
    <col min="11767" max="11767" width="11.28515625" style="2" customWidth="1"/>
    <col min="11768" max="11768" width="12.42578125" style="2" customWidth="1"/>
    <col min="11769" max="11769" width="11.28515625" style="2" customWidth="1"/>
    <col min="11770" max="11770" width="12.42578125" style="2" customWidth="1"/>
    <col min="11771" max="11771" width="11.28515625" style="2" customWidth="1"/>
    <col min="11772" max="11772" width="12.42578125" style="2" customWidth="1"/>
    <col min="11773" max="11773" width="11.28515625" style="2" customWidth="1"/>
    <col min="11774" max="11774" width="12.42578125" style="2" customWidth="1"/>
    <col min="11775" max="11775" width="11.28515625" style="2" customWidth="1"/>
    <col min="11776" max="11776" width="14.140625" style="2" customWidth="1"/>
    <col min="11777" max="11777" width="10.28515625" style="2" customWidth="1"/>
    <col min="11778" max="11778" width="17.140625" style="2" customWidth="1"/>
    <col min="11779" max="11779" width="12" style="2" customWidth="1"/>
    <col min="11780" max="11780" width="14.140625" style="2" customWidth="1"/>
    <col min="11781" max="11781" width="10.28515625" style="2" customWidth="1"/>
    <col min="11782" max="11782" width="17.140625" style="2" customWidth="1"/>
    <col min="11783" max="11783" width="12" style="2" customWidth="1"/>
    <col min="11784" max="11784" width="10.7109375" style="2" customWidth="1"/>
    <col min="11785" max="11787" width="0" style="2" hidden="1" customWidth="1"/>
    <col min="11788" max="12015" width="9.140625" style="2"/>
    <col min="12016" max="12016" width="5.140625" style="2" customWidth="1"/>
    <col min="12017" max="12017" width="32.42578125" style="2" customWidth="1"/>
    <col min="12018" max="12020" width="10.28515625" style="2" customWidth="1"/>
    <col min="12021" max="12022" width="12.42578125" style="2" customWidth="1"/>
    <col min="12023" max="12023" width="11.28515625" style="2" customWidth="1"/>
    <col min="12024" max="12024" width="12.42578125" style="2" customWidth="1"/>
    <col min="12025" max="12025" width="11.28515625" style="2" customWidth="1"/>
    <col min="12026" max="12026" width="12.42578125" style="2" customWidth="1"/>
    <col min="12027" max="12027" width="11.28515625" style="2" customWidth="1"/>
    <col min="12028" max="12028" width="12.42578125" style="2" customWidth="1"/>
    <col min="12029" max="12029" width="11.28515625" style="2" customWidth="1"/>
    <col min="12030" max="12030" width="12.42578125" style="2" customWidth="1"/>
    <col min="12031" max="12031" width="11.28515625" style="2" customWidth="1"/>
    <col min="12032" max="12032" width="14.140625" style="2" customWidth="1"/>
    <col min="12033" max="12033" width="10.28515625" style="2" customWidth="1"/>
    <col min="12034" max="12034" width="17.140625" style="2" customWidth="1"/>
    <col min="12035" max="12035" width="12" style="2" customWidth="1"/>
    <col min="12036" max="12036" width="14.140625" style="2" customWidth="1"/>
    <col min="12037" max="12037" width="10.28515625" style="2" customWidth="1"/>
    <col min="12038" max="12038" width="17.140625" style="2" customWidth="1"/>
    <col min="12039" max="12039" width="12" style="2" customWidth="1"/>
    <col min="12040" max="12040" width="10.7109375" style="2" customWidth="1"/>
    <col min="12041" max="12043" width="0" style="2" hidden="1" customWidth="1"/>
    <col min="12044" max="12271" width="9.140625" style="2"/>
    <col min="12272" max="12272" width="5.140625" style="2" customWidth="1"/>
    <col min="12273" max="12273" width="32.42578125" style="2" customWidth="1"/>
    <col min="12274" max="12276" width="10.28515625" style="2" customWidth="1"/>
    <col min="12277" max="12278" width="12.42578125" style="2" customWidth="1"/>
    <col min="12279" max="12279" width="11.28515625" style="2" customWidth="1"/>
    <col min="12280" max="12280" width="12.42578125" style="2" customWidth="1"/>
    <col min="12281" max="12281" width="11.28515625" style="2" customWidth="1"/>
    <col min="12282" max="12282" width="12.42578125" style="2" customWidth="1"/>
    <col min="12283" max="12283" width="11.28515625" style="2" customWidth="1"/>
    <col min="12284" max="12284" width="12.42578125" style="2" customWidth="1"/>
    <col min="12285" max="12285" width="11.28515625" style="2" customWidth="1"/>
    <col min="12286" max="12286" width="12.42578125" style="2" customWidth="1"/>
    <col min="12287" max="12287" width="11.28515625" style="2" customWidth="1"/>
    <col min="12288" max="12288" width="14.140625" style="2" customWidth="1"/>
    <col min="12289" max="12289" width="10.28515625" style="2" customWidth="1"/>
    <col min="12290" max="12290" width="17.140625" style="2" customWidth="1"/>
    <col min="12291" max="12291" width="12" style="2" customWidth="1"/>
    <col min="12292" max="12292" width="14.140625" style="2" customWidth="1"/>
    <col min="12293" max="12293" width="10.28515625" style="2" customWidth="1"/>
    <col min="12294" max="12294" width="17.140625" style="2" customWidth="1"/>
    <col min="12295" max="12295" width="12" style="2" customWidth="1"/>
    <col min="12296" max="12296" width="10.7109375" style="2" customWidth="1"/>
    <col min="12297" max="12299" width="0" style="2" hidden="1" customWidth="1"/>
    <col min="12300" max="12527" width="9.140625" style="2"/>
    <col min="12528" max="12528" width="5.140625" style="2" customWidth="1"/>
    <col min="12529" max="12529" width="32.42578125" style="2" customWidth="1"/>
    <col min="12530" max="12532" width="10.28515625" style="2" customWidth="1"/>
    <col min="12533" max="12534" width="12.42578125" style="2" customWidth="1"/>
    <col min="12535" max="12535" width="11.28515625" style="2" customWidth="1"/>
    <col min="12536" max="12536" width="12.42578125" style="2" customWidth="1"/>
    <col min="12537" max="12537" width="11.28515625" style="2" customWidth="1"/>
    <col min="12538" max="12538" width="12.42578125" style="2" customWidth="1"/>
    <col min="12539" max="12539" width="11.28515625" style="2" customWidth="1"/>
    <col min="12540" max="12540" width="12.42578125" style="2" customWidth="1"/>
    <col min="12541" max="12541" width="11.28515625" style="2" customWidth="1"/>
    <col min="12542" max="12542" width="12.42578125" style="2" customWidth="1"/>
    <col min="12543" max="12543" width="11.28515625" style="2" customWidth="1"/>
    <col min="12544" max="12544" width="14.140625" style="2" customWidth="1"/>
    <col min="12545" max="12545" width="10.28515625" style="2" customWidth="1"/>
    <col min="12546" max="12546" width="17.140625" style="2" customWidth="1"/>
    <col min="12547" max="12547" width="12" style="2" customWidth="1"/>
    <col min="12548" max="12548" width="14.140625" style="2" customWidth="1"/>
    <col min="12549" max="12549" width="10.28515625" style="2" customWidth="1"/>
    <col min="12550" max="12550" width="17.140625" style="2" customWidth="1"/>
    <col min="12551" max="12551" width="12" style="2" customWidth="1"/>
    <col min="12552" max="12552" width="10.7109375" style="2" customWidth="1"/>
    <col min="12553" max="12555" width="0" style="2" hidden="1" customWidth="1"/>
    <col min="12556" max="12783" width="9.140625" style="2"/>
    <col min="12784" max="12784" width="5.140625" style="2" customWidth="1"/>
    <col min="12785" max="12785" width="32.42578125" style="2" customWidth="1"/>
    <col min="12786" max="12788" width="10.28515625" style="2" customWidth="1"/>
    <col min="12789" max="12790" width="12.42578125" style="2" customWidth="1"/>
    <col min="12791" max="12791" width="11.28515625" style="2" customWidth="1"/>
    <col min="12792" max="12792" width="12.42578125" style="2" customWidth="1"/>
    <col min="12793" max="12793" width="11.28515625" style="2" customWidth="1"/>
    <col min="12794" max="12794" width="12.42578125" style="2" customWidth="1"/>
    <col min="12795" max="12795" width="11.28515625" style="2" customWidth="1"/>
    <col min="12796" max="12796" width="12.42578125" style="2" customWidth="1"/>
    <col min="12797" max="12797" width="11.28515625" style="2" customWidth="1"/>
    <col min="12798" max="12798" width="12.42578125" style="2" customWidth="1"/>
    <col min="12799" max="12799" width="11.28515625" style="2" customWidth="1"/>
    <col min="12800" max="12800" width="14.140625" style="2" customWidth="1"/>
    <col min="12801" max="12801" width="10.28515625" style="2" customWidth="1"/>
    <col min="12802" max="12802" width="17.140625" style="2" customWidth="1"/>
    <col min="12803" max="12803" width="12" style="2" customWidth="1"/>
    <col min="12804" max="12804" width="14.140625" style="2" customWidth="1"/>
    <col min="12805" max="12805" width="10.28515625" style="2" customWidth="1"/>
    <col min="12806" max="12806" width="17.140625" style="2" customWidth="1"/>
    <col min="12807" max="12807" width="12" style="2" customWidth="1"/>
    <col min="12808" max="12808" width="10.7109375" style="2" customWidth="1"/>
    <col min="12809" max="12811" width="0" style="2" hidden="1" customWidth="1"/>
    <col min="12812" max="13039" width="9.140625" style="2"/>
    <col min="13040" max="13040" width="5.140625" style="2" customWidth="1"/>
    <col min="13041" max="13041" width="32.42578125" style="2" customWidth="1"/>
    <col min="13042" max="13044" width="10.28515625" style="2" customWidth="1"/>
    <col min="13045" max="13046" width="12.42578125" style="2" customWidth="1"/>
    <col min="13047" max="13047" width="11.28515625" style="2" customWidth="1"/>
    <col min="13048" max="13048" width="12.42578125" style="2" customWidth="1"/>
    <col min="13049" max="13049" width="11.28515625" style="2" customWidth="1"/>
    <col min="13050" max="13050" width="12.42578125" style="2" customWidth="1"/>
    <col min="13051" max="13051" width="11.28515625" style="2" customWidth="1"/>
    <col min="13052" max="13052" width="12.42578125" style="2" customWidth="1"/>
    <col min="13053" max="13053" width="11.28515625" style="2" customWidth="1"/>
    <col min="13054" max="13054" width="12.42578125" style="2" customWidth="1"/>
    <col min="13055" max="13055" width="11.28515625" style="2" customWidth="1"/>
    <col min="13056" max="13056" width="14.140625" style="2" customWidth="1"/>
    <col min="13057" max="13057" width="10.28515625" style="2" customWidth="1"/>
    <col min="13058" max="13058" width="17.140625" style="2" customWidth="1"/>
    <col min="13059" max="13059" width="12" style="2" customWidth="1"/>
    <col min="13060" max="13060" width="14.140625" style="2" customWidth="1"/>
    <col min="13061" max="13061" width="10.28515625" style="2" customWidth="1"/>
    <col min="13062" max="13062" width="17.140625" style="2" customWidth="1"/>
    <col min="13063" max="13063" width="12" style="2" customWidth="1"/>
    <col min="13064" max="13064" width="10.7109375" style="2" customWidth="1"/>
    <col min="13065" max="13067" width="0" style="2" hidden="1" customWidth="1"/>
    <col min="13068" max="13295" width="9.140625" style="2"/>
    <col min="13296" max="13296" width="5.140625" style="2" customWidth="1"/>
    <col min="13297" max="13297" width="32.42578125" style="2" customWidth="1"/>
    <col min="13298" max="13300" width="10.28515625" style="2" customWidth="1"/>
    <col min="13301" max="13302" width="12.42578125" style="2" customWidth="1"/>
    <col min="13303" max="13303" width="11.28515625" style="2" customWidth="1"/>
    <col min="13304" max="13304" width="12.42578125" style="2" customWidth="1"/>
    <col min="13305" max="13305" width="11.28515625" style="2" customWidth="1"/>
    <col min="13306" max="13306" width="12.42578125" style="2" customWidth="1"/>
    <col min="13307" max="13307" width="11.28515625" style="2" customWidth="1"/>
    <col min="13308" max="13308" width="12.42578125" style="2" customWidth="1"/>
    <col min="13309" max="13309" width="11.28515625" style="2" customWidth="1"/>
    <col min="13310" max="13310" width="12.42578125" style="2" customWidth="1"/>
    <col min="13311" max="13311" width="11.28515625" style="2" customWidth="1"/>
    <col min="13312" max="13312" width="14.140625" style="2" customWidth="1"/>
    <col min="13313" max="13313" width="10.28515625" style="2" customWidth="1"/>
    <col min="13314" max="13314" width="17.140625" style="2" customWidth="1"/>
    <col min="13315" max="13315" width="12" style="2" customWidth="1"/>
    <col min="13316" max="13316" width="14.140625" style="2" customWidth="1"/>
    <col min="13317" max="13317" width="10.28515625" style="2" customWidth="1"/>
    <col min="13318" max="13318" width="17.140625" style="2" customWidth="1"/>
    <col min="13319" max="13319" width="12" style="2" customWidth="1"/>
    <col min="13320" max="13320" width="10.7109375" style="2" customWidth="1"/>
    <col min="13321" max="13323" width="0" style="2" hidden="1" customWidth="1"/>
    <col min="13324" max="13551" width="9.140625" style="2"/>
    <col min="13552" max="13552" width="5.140625" style="2" customWidth="1"/>
    <col min="13553" max="13553" width="32.42578125" style="2" customWidth="1"/>
    <col min="13554" max="13556" width="10.28515625" style="2" customWidth="1"/>
    <col min="13557" max="13558" width="12.42578125" style="2" customWidth="1"/>
    <col min="13559" max="13559" width="11.28515625" style="2" customWidth="1"/>
    <col min="13560" max="13560" width="12.42578125" style="2" customWidth="1"/>
    <col min="13561" max="13561" width="11.28515625" style="2" customWidth="1"/>
    <col min="13562" max="13562" width="12.42578125" style="2" customWidth="1"/>
    <col min="13563" max="13563" width="11.28515625" style="2" customWidth="1"/>
    <col min="13564" max="13564" width="12.42578125" style="2" customWidth="1"/>
    <col min="13565" max="13565" width="11.28515625" style="2" customWidth="1"/>
    <col min="13566" max="13566" width="12.42578125" style="2" customWidth="1"/>
    <col min="13567" max="13567" width="11.28515625" style="2" customWidth="1"/>
    <col min="13568" max="13568" width="14.140625" style="2" customWidth="1"/>
    <col min="13569" max="13569" width="10.28515625" style="2" customWidth="1"/>
    <col min="13570" max="13570" width="17.140625" style="2" customWidth="1"/>
    <col min="13571" max="13571" width="12" style="2" customWidth="1"/>
    <col min="13572" max="13572" width="14.140625" style="2" customWidth="1"/>
    <col min="13573" max="13573" width="10.28515625" style="2" customWidth="1"/>
    <col min="13574" max="13574" width="17.140625" style="2" customWidth="1"/>
    <col min="13575" max="13575" width="12" style="2" customWidth="1"/>
    <col min="13576" max="13576" width="10.7109375" style="2" customWidth="1"/>
    <col min="13577" max="13579" width="0" style="2" hidden="1" customWidth="1"/>
    <col min="13580" max="13807" width="9.140625" style="2"/>
    <col min="13808" max="13808" width="5.140625" style="2" customWidth="1"/>
    <col min="13809" max="13809" width="32.42578125" style="2" customWidth="1"/>
    <col min="13810" max="13812" width="10.28515625" style="2" customWidth="1"/>
    <col min="13813" max="13814" width="12.42578125" style="2" customWidth="1"/>
    <col min="13815" max="13815" width="11.28515625" style="2" customWidth="1"/>
    <col min="13816" max="13816" width="12.42578125" style="2" customWidth="1"/>
    <col min="13817" max="13817" width="11.28515625" style="2" customWidth="1"/>
    <col min="13818" max="13818" width="12.42578125" style="2" customWidth="1"/>
    <col min="13819" max="13819" width="11.28515625" style="2" customWidth="1"/>
    <col min="13820" max="13820" width="12.42578125" style="2" customWidth="1"/>
    <col min="13821" max="13821" width="11.28515625" style="2" customWidth="1"/>
    <col min="13822" max="13822" width="12.42578125" style="2" customWidth="1"/>
    <col min="13823" max="13823" width="11.28515625" style="2" customWidth="1"/>
    <col min="13824" max="13824" width="14.140625" style="2" customWidth="1"/>
    <col min="13825" max="13825" width="10.28515625" style="2" customWidth="1"/>
    <col min="13826" max="13826" width="17.140625" style="2" customWidth="1"/>
    <col min="13827" max="13827" width="12" style="2" customWidth="1"/>
    <col min="13828" max="13828" width="14.140625" style="2" customWidth="1"/>
    <col min="13829" max="13829" width="10.28515625" style="2" customWidth="1"/>
    <col min="13830" max="13830" width="17.140625" style="2" customWidth="1"/>
    <col min="13831" max="13831" width="12" style="2" customWidth="1"/>
    <col min="13832" max="13832" width="10.7109375" style="2" customWidth="1"/>
    <col min="13833" max="13835" width="0" style="2" hidden="1" customWidth="1"/>
    <col min="13836" max="14063" width="9.140625" style="2"/>
    <col min="14064" max="14064" width="5.140625" style="2" customWidth="1"/>
    <col min="14065" max="14065" width="32.42578125" style="2" customWidth="1"/>
    <col min="14066" max="14068" width="10.28515625" style="2" customWidth="1"/>
    <col min="14069" max="14070" width="12.42578125" style="2" customWidth="1"/>
    <col min="14071" max="14071" width="11.28515625" style="2" customWidth="1"/>
    <col min="14072" max="14072" width="12.42578125" style="2" customWidth="1"/>
    <col min="14073" max="14073" width="11.28515625" style="2" customWidth="1"/>
    <col min="14074" max="14074" width="12.42578125" style="2" customWidth="1"/>
    <col min="14075" max="14075" width="11.28515625" style="2" customWidth="1"/>
    <col min="14076" max="14076" width="12.42578125" style="2" customWidth="1"/>
    <col min="14077" max="14077" width="11.28515625" style="2" customWidth="1"/>
    <col min="14078" max="14078" width="12.42578125" style="2" customWidth="1"/>
    <col min="14079" max="14079" width="11.28515625" style="2" customWidth="1"/>
    <col min="14080" max="14080" width="14.140625" style="2" customWidth="1"/>
    <col min="14081" max="14081" width="10.28515625" style="2" customWidth="1"/>
    <col min="14082" max="14082" width="17.140625" style="2" customWidth="1"/>
    <col min="14083" max="14083" width="12" style="2" customWidth="1"/>
    <col min="14084" max="14084" width="14.140625" style="2" customWidth="1"/>
    <col min="14085" max="14085" width="10.28515625" style="2" customWidth="1"/>
    <col min="14086" max="14086" width="17.140625" style="2" customWidth="1"/>
    <col min="14087" max="14087" width="12" style="2" customWidth="1"/>
    <col min="14088" max="14088" width="10.7109375" style="2" customWidth="1"/>
    <col min="14089" max="14091" width="0" style="2" hidden="1" customWidth="1"/>
    <col min="14092" max="14319" width="9.140625" style="2"/>
    <col min="14320" max="14320" width="5.140625" style="2" customWidth="1"/>
    <col min="14321" max="14321" width="32.42578125" style="2" customWidth="1"/>
    <col min="14322" max="14324" width="10.28515625" style="2" customWidth="1"/>
    <col min="14325" max="14326" width="12.42578125" style="2" customWidth="1"/>
    <col min="14327" max="14327" width="11.28515625" style="2" customWidth="1"/>
    <col min="14328" max="14328" width="12.42578125" style="2" customWidth="1"/>
    <col min="14329" max="14329" width="11.28515625" style="2" customWidth="1"/>
    <col min="14330" max="14330" width="12.42578125" style="2" customWidth="1"/>
    <col min="14331" max="14331" width="11.28515625" style="2" customWidth="1"/>
    <col min="14332" max="14332" width="12.42578125" style="2" customWidth="1"/>
    <col min="14333" max="14333" width="11.28515625" style="2" customWidth="1"/>
    <col min="14334" max="14334" width="12.42578125" style="2" customWidth="1"/>
    <col min="14335" max="14335" width="11.28515625" style="2" customWidth="1"/>
    <col min="14336" max="14336" width="14.140625" style="2" customWidth="1"/>
    <col min="14337" max="14337" width="10.28515625" style="2" customWidth="1"/>
    <col min="14338" max="14338" width="17.140625" style="2" customWidth="1"/>
    <col min="14339" max="14339" width="12" style="2" customWidth="1"/>
    <col min="14340" max="14340" width="14.140625" style="2" customWidth="1"/>
    <col min="14341" max="14341" width="10.28515625" style="2" customWidth="1"/>
    <col min="14342" max="14342" width="17.140625" style="2" customWidth="1"/>
    <col min="14343" max="14343" width="12" style="2" customWidth="1"/>
    <col min="14344" max="14344" width="10.7109375" style="2" customWidth="1"/>
    <col min="14345" max="14347" width="0" style="2" hidden="1" customWidth="1"/>
    <col min="14348" max="14575" width="9.140625" style="2"/>
    <col min="14576" max="14576" width="5.140625" style="2" customWidth="1"/>
    <col min="14577" max="14577" width="32.42578125" style="2" customWidth="1"/>
    <col min="14578" max="14580" width="10.28515625" style="2" customWidth="1"/>
    <col min="14581" max="14582" width="12.42578125" style="2" customWidth="1"/>
    <col min="14583" max="14583" width="11.28515625" style="2" customWidth="1"/>
    <col min="14584" max="14584" width="12.42578125" style="2" customWidth="1"/>
    <col min="14585" max="14585" width="11.28515625" style="2" customWidth="1"/>
    <col min="14586" max="14586" width="12.42578125" style="2" customWidth="1"/>
    <col min="14587" max="14587" width="11.28515625" style="2" customWidth="1"/>
    <col min="14588" max="14588" width="12.42578125" style="2" customWidth="1"/>
    <col min="14589" max="14589" width="11.28515625" style="2" customWidth="1"/>
    <col min="14590" max="14590" width="12.42578125" style="2" customWidth="1"/>
    <col min="14591" max="14591" width="11.28515625" style="2" customWidth="1"/>
    <col min="14592" max="14592" width="14.140625" style="2" customWidth="1"/>
    <col min="14593" max="14593" width="10.28515625" style="2" customWidth="1"/>
    <col min="14594" max="14594" width="17.140625" style="2" customWidth="1"/>
    <col min="14595" max="14595" width="12" style="2" customWidth="1"/>
    <col min="14596" max="14596" width="14.140625" style="2" customWidth="1"/>
    <col min="14597" max="14597" width="10.28515625" style="2" customWidth="1"/>
    <col min="14598" max="14598" width="17.140625" style="2" customWidth="1"/>
    <col min="14599" max="14599" width="12" style="2" customWidth="1"/>
    <col min="14600" max="14600" width="10.7109375" style="2" customWidth="1"/>
    <col min="14601" max="14603" width="0" style="2" hidden="1" customWidth="1"/>
    <col min="14604" max="14831" width="9.140625" style="2"/>
    <col min="14832" max="14832" width="5.140625" style="2" customWidth="1"/>
    <col min="14833" max="14833" width="32.42578125" style="2" customWidth="1"/>
    <col min="14834" max="14836" width="10.28515625" style="2" customWidth="1"/>
    <col min="14837" max="14838" width="12.42578125" style="2" customWidth="1"/>
    <col min="14839" max="14839" width="11.28515625" style="2" customWidth="1"/>
    <col min="14840" max="14840" width="12.42578125" style="2" customWidth="1"/>
    <col min="14841" max="14841" width="11.28515625" style="2" customWidth="1"/>
    <col min="14842" max="14842" width="12.42578125" style="2" customWidth="1"/>
    <col min="14843" max="14843" width="11.28515625" style="2" customWidth="1"/>
    <col min="14844" max="14844" width="12.42578125" style="2" customWidth="1"/>
    <col min="14845" max="14845" width="11.28515625" style="2" customWidth="1"/>
    <col min="14846" max="14846" width="12.42578125" style="2" customWidth="1"/>
    <col min="14847" max="14847" width="11.28515625" style="2" customWidth="1"/>
    <col min="14848" max="14848" width="14.140625" style="2" customWidth="1"/>
    <col min="14849" max="14849" width="10.28515625" style="2" customWidth="1"/>
    <col min="14850" max="14850" width="17.140625" style="2" customWidth="1"/>
    <col min="14851" max="14851" width="12" style="2" customWidth="1"/>
    <col min="14852" max="14852" width="14.140625" style="2" customWidth="1"/>
    <col min="14853" max="14853" width="10.28515625" style="2" customWidth="1"/>
    <col min="14854" max="14854" width="17.140625" style="2" customWidth="1"/>
    <col min="14855" max="14855" width="12" style="2" customWidth="1"/>
    <col min="14856" max="14856" width="10.7109375" style="2" customWidth="1"/>
    <col min="14857" max="14859" width="0" style="2" hidden="1" customWidth="1"/>
    <col min="14860" max="15087" width="9.140625" style="2"/>
    <col min="15088" max="15088" width="5.140625" style="2" customWidth="1"/>
    <col min="15089" max="15089" width="32.42578125" style="2" customWidth="1"/>
    <col min="15090" max="15092" width="10.28515625" style="2" customWidth="1"/>
    <col min="15093" max="15094" width="12.42578125" style="2" customWidth="1"/>
    <col min="15095" max="15095" width="11.28515625" style="2" customWidth="1"/>
    <col min="15096" max="15096" width="12.42578125" style="2" customWidth="1"/>
    <col min="15097" max="15097" width="11.28515625" style="2" customWidth="1"/>
    <col min="15098" max="15098" width="12.42578125" style="2" customWidth="1"/>
    <col min="15099" max="15099" width="11.28515625" style="2" customWidth="1"/>
    <col min="15100" max="15100" width="12.42578125" style="2" customWidth="1"/>
    <col min="15101" max="15101" width="11.28515625" style="2" customWidth="1"/>
    <col min="15102" max="15102" width="12.42578125" style="2" customWidth="1"/>
    <col min="15103" max="15103" width="11.28515625" style="2" customWidth="1"/>
    <col min="15104" max="15104" width="14.140625" style="2" customWidth="1"/>
    <col min="15105" max="15105" width="10.28515625" style="2" customWidth="1"/>
    <col min="15106" max="15106" width="17.140625" style="2" customWidth="1"/>
    <col min="15107" max="15107" width="12" style="2" customWidth="1"/>
    <col min="15108" max="15108" width="14.140625" style="2" customWidth="1"/>
    <col min="15109" max="15109" width="10.28515625" style="2" customWidth="1"/>
    <col min="15110" max="15110" width="17.140625" style="2" customWidth="1"/>
    <col min="15111" max="15111" width="12" style="2" customWidth="1"/>
    <col min="15112" max="15112" width="10.7109375" style="2" customWidth="1"/>
    <col min="15113" max="15115" width="0" style="2" hidden="1" customWidth="1"/>
    <col min="15116" max="15343" width="9.140625" style="2"/>
    <col min="15344" max="15344" width="5.140625" style="2" customWidth="1"/>
    <col min="15345" max="15345" width="32.42578125" style="2" customWidth="1"/>
    <col min="15346" max="15348" width="10.28515625" style="2" customWidth="1"/>
    <col min="15349" max="15350" width="12.42578125" style="2" customWidth="1"/>
    <col min="15351" max="15351" width="11.28515625" style="2" customWidth="1"/>
    <col min="15352" max="15352" width="12.42578125" style="2" customWidth="1"/>
    <col min="15353" max="15353" width="11.28515625" style="2" customWidth="1"/>
    <col min="15354" max="15354" width="12.42578125" style="2" customWidth="1"/>
    <col min="15355" max="15355" width="11.28515625" style="2" customWidth="1"/>
    <col min="15356" max="15356" width="12.42578125" style="2" customWidth="1"/>
    <col min="15357" max="15357" width="11.28515625" style="2" customWidth="1"/>
    <col min="15358" max="15358" width="12.42578125" style="2" customWidth="1"/>
    <col min="15359" max="15359" width="11.28515625" style="2" customWidth="1"/>
    <col min="15360" max="15360" width="14.140625" style="2" customWidth="1"/>
    <col min="15361" max="15361" width="10.28515625" style="2" customWidth="1"/>
    <col min="15362" max="15362" width="17.140625" style="2" customWidth="1"/>
    <col min="15363" max="15363" width="12" style="2" customWidth="1"/>
    <col min="15364" max="15364" width="14.140625" style="2" customWidth="1"/>
    <col min="15365" max="15365" width="10.28515625" style="2" customWidth="1"/>
    <col min="15366" max="15366" width="17.140625" style="2" customWidth="1"/>
    <col min="15367" max="15367" width="12" style="2" customWidth="1"/>
    <col min="15368" max="15368" width="10.7109375" style="2" customWidth="1"/>
    <col min="15369" max="15371" width="0" style="2" hidden="1" customWidth="1"/>
    <col min="15372" max="15599" width="9.140625" style="2"/>
    <col min="15600" max="15600" width="5.140625" style="2" customWidth="1"/>
    <col min="15601" max="15601" width="32.42578125" style="2" customWidth="1"/>
    <col min="15602" max="15604" width="10.28515625" style="2" customWidth="1"/>
    <col min="15605" max="15606" width="12.42578125" style="2" customWidth="1"/>
    <col min="15607" max="15607" width="11.28515625" style="2" customWidth="1"/>
    <col min="15608" max="15608" width="12.42578125" style="2" customWidth="1"/>
    <col min="15609" max="15609" width="11.28515625" style="2" customWidth="1"/>
    <col min="15610" max="15610" width="12.42578125" style="2" customWidth="1"/>
    <col min="15611" max="15611" width="11.28515625" style="2" customWidth="1"/>
    <col min="15612" max="15612" width="12.42578125" style="2" customWidth="1"/>
    <col min="15613" max="15613" width="11.28515625" style="2" customWidth="1"/>
    <col min="15614" max="15614" width="12.42578125" style="2" customWidth="1"/>
    <col min="15615" max="15615" width="11.28515625" style="2" customWidth="1"/>
    <col min="15616" max="15616" width="14.140625" style="2" customWidth="1"/>
    <col min="15617" max="15617" width="10.28515625" style="2" customWidth="1"/>
    <col min="15618" max="15618" width="17.140625" style="2" customWidth="1"/>
    <col min="15619" max="15619" width="12" style="2" customWidth="1"/>
    <col min="15620" max="15620" width="14.140625" style="2" customWidth="1"/>
    <col min="15621" max="15621" width="10.28515625" style="2" customWidth="1"/>
    <col min="15622" max="15622" width="17.140625" style="2" customWidth="1"/>
    <col min="15623" max="15623" width="12" style="2" customWidth="1"/>
    <col min="15624" max="15624" width="10.7109375" style="2" customWidth="1"/>
    <col min="15625" max="15627" width="0" style="2" hidden="1" customWidth="1"/>
    <col min="15628" max="15855" width="9.140625" style="2"/>
    <col min="15856" max="15856" width="5.140625" style="2" customWidth="1"/>
    <col min="15857" max="15857" width="32.42578125" style="2" customWidth="1"/>
    <col min="15858" max="15860" width="10.28515625" style="2" customWidth="1"/>
    <col min="15861" max="15862" width="12.42578125" style="2" customWidth="1"/>
    <col min="15863" max="15863" width="11.28515625" style="2" customWidth="1"/>
    <col min="15864" max="15864" width="12.42578125" style="2" customWidth="1"/>
    <col min="15865" max="15865" width="11.28515625" style="2" customWidth="1"/>
    <col min="15866" max="15866" width="12.42578125" style="2" customWidth="1"/>
    <col min="15867" max="15867" width="11.28515625" style="2" customWidth="1"/>
    <col min="15868" max="15868" width="12.42578125" style="2" customWidth="1"/>
    <col min="15869" max="15869" width="11.28515625" style="2" customWidth="1"/>
    <col min="15870" max="15870" width="12.42578125" style="2" customWidth="1"/>
    <col min="15871" max="15871" width="11.28515625" style="2" customWidth="1"/>
    <col min="15872" max="15872" width="14.140625" style="2" customWidth="1"/>
    <col min="15873" max="15873" width="10.28515625" style="2" customWidth="1"/>
    <col min="15874" max="15874" width="17.140625" style="2" customWidth="1"/>
    <col min="15875" max="15875" width="12" style="2" customWidth="1"/>
    <col min="15876" max="15876" width="14.140625" style="2" customWidth="1"/>
    <col min="15877" max="15877" width="10.28515625" style="2" customWidth="1"/>
    <col min="15878" max="15878" width="17.140625" style="2" customWidth="1"/>
    <col min="15879" max="15879" width="12" style="2" customWidth="1"/>
    <col min="15880" max="15880" width="10.7109375" style="2" customWidth="1"/>
    <col min="15881" max="15883" width="0" style="2" hidden="1" customWidth="1"/>
    <col min="15884" max="16111" width="9.140625" style="2"/>
    <col min="16112" max="16112" width="5.140625" style="2" customWidth="1"/>
    <col min="16113" max="16113" width="32.42578125" style="2" customWidth="1"/>
    <col min="16114" max="16116" width="10.28515625" style="2" customWidth="1"/>
    <col min="16117" max="16118" width="12.42578125" style="2" customWidth="1"/>
    <col min="16119" max="16119" width="11.28515625" style="2" customWidth="1"/>
    <col min="16120" max="16120" width="12.42578125" style="2" customWidth="1"/>
    <col min="16121" max="16121" width="11.28515625" style="2" customWidth="1"/>
    <col min="16122" max="16122" width="12.42578125" style="2" customWidth="1"/>
    <col min="16123" max="16123" width="11.28515625" style="2" customWidth="1"/>
    <col min="16124" max="16124" width="12.42578125" style="2" customWidth="1"/>
    <col min="16125" max="16125" width="11.28515625" style="2" customWidth="1"/>
    <col min="16126" max="16126" width="12.42578125" style="2" customWidth="1"/>
    <col min="16127" max="16127" width="11.28515625" style="2" customWidth="1"/>
    <col min="16128" max="16128" width="14.140625" style="2" customWidth="1"/>
    <col min="16129" max="16129" width="10.28515625" style="2" customWidth="1"/>
    <col min="16130" max="16130" width="17.140625" style="2" customWidth="1"/>
    <col min="16131" max="16131" width="12" style="2" customWidth="1"/>
    <col min="16132" max="16132" width="14.140625" style="2" customWidth="1"/>
    <col min="16133" max="16133" width="10.28515625" style="2" customWidth="1"/>
    <col min="16134" max="16134" width="17.140625" style="2" customWidth="1"/>
    <col min="16135" max="16135" width="12" style="2" customWidth="1"/>
    <col min="16136" max="16136" width="10.7109375" style="2" customWidth="1"/>
    <col min="16137" max="16139" width="0" style="2" hidden="1" customWidth="1"/>
    <col min="16140" max="16384" width="9.140625" style="2"/>
  </cols>
  <sheetData>
    <row r="1" spans="1:27" ht="18.75" customHeight="1" x14ac:dyDescent="0.25">
      <c r="A1" s="347" t="s">
        <v>0</v>
      </c>
      <c r="B1" s="347"/>
      <c r="C1" s="1"/>
      <c r="D1" s="1"/>
      <c r="E1" s="1"/>
      <c r="F1" s="1"/>
      <c r="G1" s="1"/>
      <c r="H1" s="1"/>
      <c r="I1" s="1"/>
      <c r="J1" s="1"/>
      <c r="K1" s="1"/>
      <c r="L1" s="1"/>
      <c r="M1" s="1"/>
      <c r="N1" s="1"/>
      <c r="O1" s="1"/>
      <c r="P1" s="1"/>
      <c r="Q1" s="1"/>
      <c r="R1" s="1"/>
      <c r="S1" s="1"/>
      <c r="T1" s="384" t="s">
        <v>752</v>
      </c>
      <c r="U1" s="384"/>
      <c r="V1" s="384"/>
      <c r="W1" s="384"/>
    </row>
    <row r="2" spans="1:27" x14ac:dyDescent="0.25">
      <c r="A2" s="348" t="s">
        <v>1</v>
      </c>
      <c r="B2" s="348"/>
      <c r="C2" s="348"/>
      <c r="D2" s="348"/>
      <c r="E2" s="348"/>
      <c r="F2" s="348"/>
      <c r="G2" s="348"/>
      <c r="H2" s="348"/>
      <c r="I2" s="348"/>
      <c r="J2" s="348"/>
      <c r="K2" s="348"/>
      <c r="L2" s="348"/>
      <c r="M2" s="348"/>
      <c r="N2" s="348"/>
      <c r="O2" s="348"/>
      <c r="P2" s="348"/>
      <c r="Q2" s="348"/>
      <c r="R2" s="348"/>
      <c r="S2" s="348"/>
      <c r="T2" s="348"/>
      <c r="U2" s="348"/>
      <c r="V2" s="348"/>
      <c r="W2" s="348"/>
    </row>
    <row r="3" spans="1:27" ht="25.5" customHeight="1" x14ac:dyDescent="0.25">
      <c r="A3" s="348" t="s">
        <v>682</v>
      </c>
      <c r="B3" s="348"/>
      <c r="C3" s="348"/>
      <c r="D3" s="348"/>
      <c r="E3" s="348"/>
      <c r="F3" s="348"/>
      <c r="G3" s="348"/>
      <c r="H3" s="348"/>
      <c r="I3" s="348"/>
      <c r="J3" s="348"/>
      <c r="K3" s="348"/>
      <c r="L3" s="348"/>
      <c r="M3" s="348"/>
      <c r="N3" s="348"/>
      <c r="O3" s="348"/>
      <c r="P3" s="348"/>
      <c r="Q3" s="348"/>
      <c r="R3" s="348"/>
      <c r="S3" s="348"/>
      <c r="T3" s="385"/>
      <c r="U3" s="348"/>
      <c r="V3" s="348"/>
      <c r="W3" s="348"/>
    </row>
    <row r="4" spans="1:27" x14ac:dyDescent="0.25">
      <c r="A4" s="349" t="s">
        <v>747</v>
      </c>
      <c r="B4" s="349"/>
      <c r="C4" s="349"/>
      <c r="D4" s="349"/>
      <c r="E4" s="349"/>
      <c r="F4" s="349"/>
      <c r="G4" s="349"/>
      <c r="H4" s="349"/>
      <c r="I4" s="349"/>
      <c r="J4" s="349"/>
      <c r="K4" s="349"/>
      <c r="L4" s="349"/>
      <c r="M4" s="349"/>
      <c r="N4" s="349"/>
      <c r="O4" s="349"/>
      <c r="P4" s="349"/>
      <c r="Q4" s="349"/>
      <c r="R4" s="349"/>
      <c r="S4" s="349"/>
      <c r="T4" s="386"/>
      <c r="U4" s="349"/>
      <c r="V4" s="349"/>
      <c r="W4" s="349"/>
    </row>
    <row r="5" spans="1:27" s="3" customFormat="1" x14ac:dyDescent="0.25">
      <c r="A5" s="350" t="s">
        <v>3</v>
      </c>
      <c r="B5" s="350"/>
      <c r="C5" s="350"/>
      <c r="D5" s="350"/>
      <c r="E5" s="350"/>
      <c r="F5" s="350"/>
      <c r="G5" s="350"/>
      <c r="H5" s="350"/>
      <c r="I5" s="350"/>
      <c r="J5" s="350"/>
      <c r="K5" s="350"/>
      <c r="L5" s="350"/>
      <c r="M5" s="350"/>
      <c r="N5" s="350"/>
      <c r="O5" s="350"/>
      <c r="P5" s="350"/>
      <c r="Q5" s="350"/>
      <c r="R5" s="350"/>
      <c r="S5" s="350"/>
      <c r="T5" s="387"/>
      <c r="U5" s="350"/>
      <c r="V5" s="350"/>
      <c r="W5" s="350"/>
    </row>
    <row r="6" spans="1:27" s="142" customFormat="1" ht="34.5" customHeight="1" x14ac:dyDescent="0.25">
      <c r="A6" s="332" t="s">
        <v>4</v>
      </c>
      <c r="B6" s="332" t="s">
        <v>5</v>
      </c>
      <c r="C6" s="332" t="s">
        <v>683</v>
      </c>
      <c r="D6" s="332" t="s">
        <v>7</v>
      </c>
      <c r="E6" s="334" t="s">
        <v>10</v>
      </c>
      <c r="F6" s="332" t="s">
        <v>9</v>
      </c>
      <c r="G6" s="356" t="s">
        <v>11</v>
      </c>
      <c r="H6" s="357"/>
      <c r="I6" s="357"/>
      <c r="J6" s="357"/>
      <c r="K6" s="357"/>
      <c r="L6" s="358"/>
      <c r="M6" s="139"/>
      <c r="N6" s="332" t="s">
        <v>684</v>
      </c>
      <c r="O6" s="332"/>
      <c r="P6" s="332"/>
      <c r="Q6" s="332" t="s">
        <v>15</v>
      </c>
      <c r="R6" s="332"/>
      <c r="S6" s="332"/>
      <c r="T6" s="332" t="s">
        <v>16</v>
      </c>
      <c r="U6" s="332"/>
      <c r="V6" s="332"/>
      <c r="W6" s="332" t="s">
        <v>17</v>
      </c>
    </row>
    <row r="7" spans="1:27" s="142" customFormat="1" ht="19.5" customHeight="1" x14ac:dyDescent="0.25">
      <c r="A7" s="332"/>
      <c r="B7" s="332"/>
      <c r="C7" s="332"/>
      <c r="D7" s="332"/>
      <c r="E7" s="335"/>
      <c r="F7" s="332"/>
      <c r="G7" s="332" t="s">
        <v>18</v>
      </c>
      <c r="H7" s="356" t="s">
        <v>19</v>
      </c>
      <c r="I7" s="357"/>
      <c r="J7" s="357"/>
      <c r="K7" s="357"/>
      <c r="L7" s="358"/>
      <c r="M7" s="139"/>
      <c r="N7" s="332" t="s">
        <v>20</v>
      </c>
      <c r="O7" s="383" t="s">
        <v>685</v>
      </c>
      <c r="P7" s="383" t="s">
        <v>686</v>
      </c>
      <c r="Q7" s="332" t="s">
        <v>20</v>
      </c>
      <c r="R7" s="383" t="s">
        <v>528</v>
      </c>
      <c r="S7" s="383" t="s">
        <v>686</v>
      </c>
      <c r="T7" s="332" t="s">
        <v>20</v>
      </c>
      <c r="U7" s="383" t="s">
        <v>685</v>
      </c>
      <c r="V7" s="383" t="s">
        <v>686</v>
      </c>
      <c r="W7" s="332"/>
    </row>
    <row r="8" spans="1:27" s="142" customFormat="1" ht="20.25" customHeight="1" x14ac:dyDescent="0.25">
      <c r="A8" s="332"/>
      <c r="B8" s="332"/>
      <c r="C8" s="332"/>
      <c r="D8" s="332"/>
      <c r="E8" s="335"/>
      <c r="F8" s="332"/>
      <c r="G8" s="332"/>
      <c r="H8" s="332" t="s">
        <v>20</v>
      </c>
      <c r="I8" s="356" t="s">
        <v>24</v>
      </c>
      <c r="J8" s="357"/>
      <c r="K8" s="357"/>
      <c r="L8" s="358"/>
      <c r="M8" s="139"/>
      <c r="N8" s="332"/>
      <c r="O8" s="383"/>
      <c r="P8" s="383"/>
      <c r="Q8" s="332"/>
      <c r="R8" s="383"/>
      <c r="S8" s="383"/>
      <c r="T8" s="332"/>
      <c r="U8" s="383"/>
      <c r="V8" s="383"/>
      <c r="W8" s="332"/>
    </row>
    <row r="9" spans="1:27" s="142" customFormat="1" x14ac:dyDescent="0.25">
      <c r="A9" s="332"/>
      <c r="B9" s="332"/>
      <c r="C9" s="332"/>
      <c r="D9" s="332"/>
      <c r="E9" s="335"/>
      <c r="F9" s="332"/>
      <c r="G9" s="332"/>
      <c r="H9" s="332"/>
      <c r="I9" s="380" t="s">
        <v>528</v>
      </c>
      <c r="J9" s="380" t="s">
        <v>687</v>
      </c>
      <c r="K9" s="382" t="s">
        <v>688</v>
      </c>
      <c r="L9" s="366" t="s">
        <v>689</v>
      </c>
      <c r="M9" s="255"/>
      <c r="N9" s="332"/>
      <c r="O9" s="383"/>
      <c r="P9" s="383"/>
      <c r="Q9" s="332"/>
      <c r="R9" s="383"/>
      <c r="S9" s="383"/>
      <c r="T9" s="332"/>
      <c r="U9" s="383"/>
      <c r="V9" s="383"/>
      <c r="W9" s="332"/>
    </row>
    <row r="10" spans="1:27" s="142" customFormat="1" ht="48" customHeight="1" x14ac:dyDescent="0.25">
      <c r="A10" s="332"/>
      <c r="B10" s="332"/>
      <c r="C10" s="332"/>
      <c r="D10" s="332"/>
      <c r="E10" s="336"/>
      <c r="F10" s="332"/>
      <c r="G10" s="332"/>
      <c r="H10" s="332"/>
      <c r="I10" s="381"/>
      <c r="J10" s="381"/>
      <c r="K10" s="382"/>
      <c r="L10" s="368"/>
      <c r="M10" s="257"/>
      <c r="N10" s="332"/>
      <c r="O10" s="383"/>
      <c r="P10" s="383"/>
      <c r="Q10" s="332"/>
      <c r="R10" s="383"/>
      <c r="S10" s="383"/>
      <c r="T10" s="332"/>
      <c r="U10" s="383"/>
      <c r="V10" s="383"/>
      <c r="W10" s="332"/>
    </row>
    <row r="11" spans="1:27" ht="23.25" customHeight="1" x14ac:dyDescent="0.25">
      <c r="A11" s="299"/>
      <c r="B11" s="300" t="s">
        <v>531</v>
      </c>
      <c r="C11" s="301"/>
      <c r="D11" s="302"/>
      <c r="E11" s="302"/>
      <c r="F11" s="302"/>
      <c r="G11" s="302"/>
      <c r="H11" s="303">
        <f>H12+H20</f>
        <v>19727</v>
      </c>
      <c r="I11" s="303">
        <f t="shared" ref="I11:V11" si="0">I12+I20</f>
        <v>17000</v>
      </c>
      <c r="J11" s="303">
        <f t="shared" si="0"/>
        <v>1390.5</v>
      </c>
      <c r="K11" s="303">
        <f t="shared" si="0"/>
        <v>90</v>
      </c>
      <c r="L11" s="303">
        <f t="shared" si="0"/>
        <v>2161.5</v>
      </c>
      <c r="M11" s="303">
        <f t="shared" si="0"/>
        <v>0</v>
      </c>
      <c r="N11" s="303">
        <f t="shared" si="0"/>
        <v>14000</v>
      </c>
      <c r="O11" s="303">
        <f t="shared" si="0"/>
        <v>6000</v>
      </c>
      <c r="P11" s="303">
        <f t="shared" si="0"/>
        <v>8000</v>
      </c>
      <c r="Q11" s="303">
        <f t="shared" si="0"/>
        <v>3000</v>
      </c>
      <c r="R11" s="303">
        <f t="shared" si="0"/>
        <v>3000</v>
      </c>
      <c r="S11" s="303">
        <f t="shared" si="0"/>
        <v>0</v>
      </c>
      <c r="T11" s="303">
        <f t="shared" si="0"/>
        <v>16000</v>
      </c>
      <c r="U11" s="303">
        <f t="shared" si="0"/>
        <v>16000</v>
      </c>
      <c r="V11" s="303">
        <f t="shared" si="0"/>
        <v>0</v>
      </c>
      <c r="W11" s="302"/>
      <c r="X11" s="20" t="e">
        <f>ROUND(#REF!*0.5-#REF!,-2)</f>
        <v>#REF!</v>
      </c>
      <c r="Z11" s="2">
        <f>I11-N11</f>
        <v>3000</v>
      </c>
      <c r="AA11" s="304"/>
    </row>
    <row r="12" spans="1:27" ht="23.25" customHeight="1" x14ac:dyDescent="0.25">
      <c r="A12" s="22" t="s">
        <v>358</v>
      </c>
      <c r="B12" s="149" t="s">
        <v>359</v>
      </c>
      <c r="C12" s="28"/>
      <c r="D12" s="267"/>
      <c r="E12" s="267"/>
      <c r="F12" s="267"/>
      <c r="G12" s="267"/>
      <c r="H12" s="305">
        <f t="shared" ref="H12:T12" si="1">SUM(H13:H19)</f>
        <v>19727</v>
      </c>
      <c r="I12" s="305">
        <f t="shared" si="1"/>
        <v>17000</v>
      </c>
      <c r="J12" s="305">
        <f t="shared" si="1"/>
        <v>1390.5</v>
      </c>
      <c r="K12" s="305">
        <f t="shared" si="1"/>
        <v>90</v>
      </c>
      <c r="L12" s="305">
        <f t="shared" si="1"/>
        <v>2161.5</v>
      </c>
      <c r="M12" s="305">
        <f t="shared" si="1"/>
        <v>0</v>
      </c>
      <c r="N12" s="305">
        <f t="shared" si="1"/>
        <v>14000</v>
      </c>
      <c r="O12" s="305">
        <f t="shared" si="1"/>
        <v>6000</v>
      </c>
      <c r="P12" s="305">
        <f t="shared" si="1"/>
        <v>8000</v>
      </c>
      <c r="Q12" s="305">
        <f t="shared" si="1"/>
        <v>3000</v>
      </c>
      <c r="R12" s="305">
        <f t="shared" si="1"/>
        <v>3000</v>
      </c>
      <c r="S12" s="305">
        <f t="shared" si="1"/>
        <v>0</v>
      </c>
      <c r="T12" s="305">
        <f t="shared" si="1"/>
        <v>3000</v>
      </c>
      <c r="U12" s="305">
        <f>SUM(U13:U19)</f>
        <v>3000</v>
      </c>
      <c r="V12" s="305"/>
      <c r="W12" s="267"/>
      <c r="X12" s="20"/>
    </row>
    <row r="13" spans="1:27" ht="60" customHeight="1" x14ac:dyDescent="0.25">
      <c r="A13" s="46">
        <v>1</v>
      </c>
      <c r="B13" s="306" t="s">
        <v>690</v>
      </c>
      <c r="C13" s="41" t="s">
        <v>691</v>
      </c>
      <c r="D13" s="41" t="s">
        <v>692</v>
      </c>
      <c r="E13" s="41" t="s">
        <v>693</v>
      </c>
      <c r="F13" s="267"/>
      <c r="G13" s="41" t="s">
        <v>694</v>
      </c>
      <c r="H13" s="307">
        <v>3205</v>
      </c>
      <c r="I13" s="307">
        <v>3205</v>
      </c>
      <c r="J13" s="307"/>
      <c r="K13" s="307"/>
      <c r="L13" s="307">
        <v>0</v>
      </c>
      <c r="M13" s="307"/>
      <c r="N13" s="307">
        <f t="shared" ref="N13:N19" si="2">O13+P13</f>
        <v>2300</v>
      </c>
      <c r="O13" s="307">
        <v>2300</v>
      </c>
      <c r="P13" s="307"/>
      <c r="Q13" s="307">
        <f t="shared" ref="Q13:Q19" si="3">R13+S13</f>
        <v>905</v>
      </c>
      <c r="R13" s="307">
        <f>I13-N13</f>
        <v>905</v>
      </c>
      <c r="S13" s="307"/>
      <c r="T13" s="307">
        <f t="shared" ref="T13:T20" si="4">U13+V13</f>
        <v>905</v>
      </c>
      <c r="U13" s="307">
        <f>I13-O13</f>
        <v>905</v>
      </c>
      <c r="V13" s="307"/>
      <c r="W13" s="267"/>
      <c r="X13" s="20"/>
      <c r="Z13" s="2">
        <f t="shared" ref="Z13:Z19" si="5">I13-N13</f>
        <v>905</v>
      </c>
    </row>
    <row r="14" spans="1:27" ht="43.5" customHeight="1" x14ac:dyDescent="0.25">
      <c r="A14" s="46">
        <v>2</v>
      </c>
      <c r="B14" s="306" t="s">
        <v>695</v>
      </c>
      <c r="C14" s="41" t="s">
        <v>696</v>
      </c>
      <c r="D14" s="91" t="s">
        <v>697</v>
      </c>
      <c r="E14" s="41" t="s">
        <v>698</v>
      </c>
      <c r="F14" s="267"/>
      <c r="G14" s="46" t="s">
        <v>699</v>
      </c>
      <c r="H14" s="47">
        <v>5000</v>
      </c>
      <c r="I14" s="47">
        <v>5000</v>
      </c>
      <c r="J14" s="47"/>
      <c r="K14" s="307"/>
      <c r="L14" s="307"/>
      <c r="M14" s="307"/>
      <c r="N14" s="307">
        <f t="shared" si="2"/>
        <v>4000</v>
      </c>
      <c r="O14" s="307"/>
      <c r="P14" s="307">
        <v>4000</v>
      </c>
      <c r="Q14" s="307">
        <f t="shared" si="3"/>
        <v>1000</v>
      </c>
      <c r="R14" s="307">
        <f t="shared" ref="R14:R19" si="6">I14-N14</f>
        <v>1000</v>
      </c>
      <c r="S14" s="307"/>
      <c r="T14" s="307">
        <f t="shared" si="4"/>
        <v>1000</v>
      </c>
      <c r="U14" s="307">
        <v>1000</v>
      </c>
      <c r="V14" s="307"/>
      <c r="W14" s="267"/>
      <c r="X14" s="20"/>
      <c r="Z14" s="2">
        <f t="shared" si="5"/>
        <v>1000</v>
      </c>
    </row>
    <row r="15" spans="1:27" ht="51" customHeight="1" x14ac:dyDescent="0.25">
      <c r="A15" s="46">
        <v>3</v>
      </c>
      <c r="B15" s="308" t="s">
        <v>700</v>
      </c>
      <c r="C15" s="41" t="s">
        <v>701</v>
      </c>
      <c r="D15" s="41" t="s">
        <v>702</v>
      </c>
      <c r="E15" s="41" t="s">
        <v>703</v>
      </c>
      <c r="F15" s="41"/>
      <c r="G15" s="41" t="s">
        <v>704</v>
      </c>
      <c r="H15" s="209">
        <v>2500</v>
      </c>
      <c r="I15" s="209">
        <v>2000</v>
      </c>
      <c r="J15" s="209"/>
      <c r="K15" s="209"/>
      <c r="L15" s="209">
        <v>189</v>
      </c>
      <c r="M15" s="209"/>
      <c r="N15" s="307">
        <f t="shared" si="2"/>
        <v>1800</v>
      </c>
      <c r="O15" s="307">
        <v>1800</v>
      </c>
      <c r="P15" s="209"/>
      <c r="Q15" s="307">
        <f t="shared" si="3"/>
        <v>200</v>
      </c>
      <c r="R15" s="307">
        <f t="shared" si="6"/>
        <v>200</v>
      </c>
      <c r="S15" s="209"/>
      <c r="T15" s="307">
        <f t="shared" si="4"/>
        <v>200</v>
      </c>
      <c r="U15" s="307">
        <v>200</v>
      </c>
      <c r="V15" s="209"/>
      <c r="W15" s="268"/>
      <c r="Z15" s="2">
        <f t="shared" si="5"/>
        <v>200</v>
      </c>
    </row>
    <row r="16" spans="1:27" ht="69.75" customHeight="1" x14ac:dyDescent="0.25">
      <c r="A16" s="46">
        <v>4</v>
      </c>
      <c r="B16" s="308" t="s">
        <v>705</v>
      </c>
      <c r="C16" s="41" t="s">
        <v>706</v>
      </c>
      <c r="D16" s="41" t="s">
        <v>707</v>
      </c>
      <c r="E16" s="41" t="s">
        <v>708</v>
      </c>
      <c r="F16" s="41"/>
      <c r="G16" s="41" t="s">
        <v>709</v>
      </c>
      <c r="H16" s="209">
        <v>1922</v>
      </c>
      <c r="I16" s="209">
        <v>1345</v>
      </c>
      <c r="J16" s="209">
        <v>311</v>
      </c>
      <c r="K16" s="209"/>
      <c r="L16" s="209">
        <v>157.5</v>
      </c>
      <c r="M16" s="209"/>
      <c r="N16" s="307">
        <f t="shared" si="2"/>
        <v>1150</v>
      </c>
      <c r="O16" s="307">
        <v>1150</v>
      </c>
      <c r="P16" s="209"/>
      <c r="Q16" s="307">
        <f t="shared" si="3"/>
        <v>195</v>
      </c>
      <c r="R16" s="307">
        <f t="shared" si="6"/>
        <v>195</v>
      </c>
      <c r="S16" s="209"/>
      <c r="T16" s="307">
        <f t="shared" si="4"/>
        <v>195</v>
      </c>
      <c r="U16" s="307">
        <f>I16-O16</f>
        <v>195</v>
      </c>
      <c r="V16" s="209"/>
      <c r="W16" s="268"/>
      <c r="Z16" s="2">
        <f t="shared" si="5"/>
        <v>195</v>
      </c>
    </row>
    <row r="17" spans="1:26" ht="58.5" customHeight="1" x14ac:dyDescent="0.25">
      <c r="A17" s="46">
        <v>5</v>
      </c>
      <c r="B17" s="308" t="s">
        <v>710</v>
      </c>
      <c r="C17" s="41" t="s">
        <v>711</v>
      </c>
      <c r="D17" s="41" t="s">
        <v>712</v>
      </c>
      <c r="E17" s="41" t="s">
        <v>713</v>
      </c>
      <c r="F17" s="41"/>
      <c r="G17" s="41" t="s">
        <v>714</v>
      </c>
      <c r="H17" s="209">
        <v>2650</v>
      </c>
      <c r="I17" s="209">
        <v>1850</v>
      </c>
      <c r="J17" s="209">
        <v>419.5</v>
      </c>
      <c r="K17" s="209"/>
      <c r="L17" s="209">
        <v>50</v>
      </c>
      <c r="M17" s="209"/>
      <c r="N17" s="307">
        <f t="shared" si="2"/>
        <v>1650</v>
      </c>
      <c r="O17" s="307">
        <v>750</v>
      </c>
      <c r="P17" s="209">
        <v>900</v>
      </c>
      <c r="Q17" s="307">
        <f t="shared" si="3"/>
        <v>200</v>
      </c>
      <c r="R17" s="307">
        <f t="shared" si="6"/>
        <v>200</v>
      </c>
      <c r="S17" s="209"/>
      <c r="T17" s="307">
        <f t="shared" si="4"/>
        <v>200</v>
      </c>
      <c r="U17" s="307">
        <v>200</v>
      </c>
      <c r="V17" s="209"/>
      <c r="W17" s="268"/>
      <c r="Z17" s="2">
        <f t="shared" si="5"/>
        <v>200</v>
      </c>
    </row>
    <row r="18" spans="1:26" ht="56.25" customHeight="1" x14ac:dyDescent="0.25">
      <c r="A18" s="46">
        <v>6</v>
      </c>
      <c r="B18" s="308" t="s">
        <v>715</v>
      </c>
      <c r="C18" s="41" t="s">
        <v>716</v>
      </c>
      <c r="D18" s="41" t="s">
        <v>717</v>
      </c>
      <c r="E18" s="41" t="s">
        <v>718</v>
      </c>
      <c r="F18" s="41"/>
      <c r="G18" s="41" t="s">
        <v>719</v>
      </c>
      <c r="H18" s="209">
        <v>2650</v>
      </c>
      <c r="I18" s="209">
        <v>1800</v>
      </c>
      <c r="J18" s="209">
        <v>660</v>
      </c>
      <c r="K18" s="209">
        <v>90</v>
      </c>
      <c r="L18" s="209">
        <v>265</v>
      </c>
      <c r="M18" s="209"/>
      <c r="N18" s="307">
        <f t="shared" si="2"/>
        <v>1600</v>
      </c>
      <c r="O18" s="307"/>
      <c r="P18" s="209">
        <v>1600</v>
      </c>
      <c r="Q18" s="307">
        <f t="shared" si="3"/>
        <v>200</v>
      </c>
      <c r="R18" s="307">
        <f t="shared" si="6"/>
        <v>200</v>
      </c>
      <c r="S18" s="209"/>
      <c r="T18" s="307">
        <f t="shared" si="4"/>
        <v>200</v>
      </c>
      <c r="U18" s="209">
        <v>200</v>
      </c>
      <c r="V18" s="209"/>
      <c r="W18" s="268"/>
      <c r="Z18" s="2">
        <f t="shared" si="5"/>
        <v>200</v>
      </c>
    </row>
    <row r="19" spans="1:26" ht="57" customHeight="1" x14ac:dyDescent="0.25">
      <c r="A19" s="46">
        <v>7</v>
      </c>
      <c r="B19" s="308" t="s">
        <v>720</v>
      </c>
      <c r="C19" s="41" t="s">
        <v>721</v>
      </c>
      <c r="D19" s="41" t="s">
        <v>722</v>
      </c>
      <c r="E19" s="41" t="s">
        <v>723</v>
      </c>
      <c r="F19" s="41" t="s">
        <v>724</v>
      </c>
      <c r="G19" s="41" t="s">
        <v>724</v>
      </c>
      <c r="H19" s="209">
        <v>1800</v>
      </c>
      <c r="I19" s="209">
        <v>1800</v>
      </c>
      <c r="J19" s="209"/>
      <c r="K19" s="209"/>
      <c r="L19" s="209">
        <f t="shared" ref="L19" si="7">N19+O19</f>
        <v>1500</v>
      </c>
      <c r="M19" s="209"/>
      <c r="N19" s="307">
        <f t="shared" si="2"/>
        <v>1500</v>
      </c>
      <c r="O19" s="307"/>
      <c r="P19" s="209">
        <v>1500</v>
      </c>
      <c r="Q19" s="307">
        <f t="shared" si="3"/>
        <v>300</v>
      </c>
      <c r="R19" s="307">
        <f t="shared" si="6"/>
        <v>300</v>
      </c>
      <c r="S19" s="209"/>
      <c r="T19" s="307">
        <f t="shared" si="4"/>
        <v>300</v>
      </c>
      <c r="U19" s="209">
        <v>300</v>
      </c>
      <c r="V19" s="209"/>
      <c r="W19" s="268"/>
      <c r="Y19" s="2">
        <v>1500</v>
      </c>
      <c r="Z19" s="2">
        <f t="shared" si="5"/>
        <v>300</v>
      </c>
    </row>
    <row r="20" spans="1:26" ht="23.25" customHeight="1" x14ac:dyDescent="0.25">
      <c r="A20" s="309" t="s">
        <v>487</v>
      </c>
      <c r="B20" s="310" t="s">
        <v>488</v>
      </c>
      <c r="C20" s="127"/>
      <c r="D20" s="293"/>
      <c r="E20" s="293"/>
      <c r="F20" s="293"/>
      <c r="G20" s="293"/>
      <c r="H20" s="311"/>
      <c r="I20" s="311"/>
      <c r="J20" s="311"/>
      <c r="K20" s="311"/>
      <c r="L20" s="311"/>
      <c r="M20" s="311"/>
      <c r="N20" s="311"/>
      <c r="O20" s="311"/>
      <c r="P20" s="311"/>
      <c r="Q20" s="311"/>
      <c r="R20" s="311"/>
      <c r="S20" s="311"/>
      <c r="T20" s="311">
        <f t="shared" si="4"/>
        <v>13000</v>
      </c>
      <c r="U20" s="311">
        <v>13000</v>
      </c>
      <c r="V20" s="311"/>
      <c r="W20" s="293"/>
      <c r="X20" s="20"/>
    </row>
    <row r="28" spans="1:26" x14ac:dyDescent="0.25">
      <c r="A28" s="2"/>
      <c r="B28" s="2"/>
      <c r="C28" s="2"/>
      <c r="D28" s="2"/>
      <c r="E28" s="2"/>
      <c r="F28" s="2"/>
      <c r="G28" s="2"/>
      <c r="H28" s="2"/>
      <c r="I28" s="2"/>
      <c r="J28" s="2"/>
      <c r="K28" s="2"/>
      <c r="L28" s="2"/>
      <c r="M28" s="2"/>
      <c r="N28" s="2"/>
      <c r="O28" s="2"/>
      <c r="P28" s="2"/>
      <c r="Q28" s="2"/>
      <c r="R28" s="2"/>
      <c r="S28" s="2"/>
      <c r="T28" s="2"/>
      <c r="U28" s="2"/>
      <c r="V28" s="2"/>
      <c r="W28" s="2"/>
    </row>
  </sheetData>
  <mergeCells count="34">
    <mergeCell ref="F6:F10"/>
    <mergeCell ref="A1:B1"/>
    <mergeCell ref="T1:W1"/>
    <mergeCell ref="A2:W2"/>
    <mergeCell ref="A3:W3"/>
    <mergeCell ref="A4:W4"/>
    <mergeCell ref="A5:W5"/>
    <mergeCell ref="A6:A10"/>
    <mergeCell ref="B6:B10"/>
    <mergeCell ref="C6:C10"/>
    <mergeCell ref="D6:D10"/>
    <mergeCell ref="E6:E10"/>
    <mergeCell ref="W6:W10"/>
    <mergeCell ref="G7:G10"/>
    <mergeCell ref="H7:L7"/>
    <mergeCell ref="N7:N10"/>
    <mergeCell ref="O7:O10"/>
    <mergeCell ref="P7:P10"/>
    <mergeCell ref="V7:V10"/>
    <mergeCell ref="G6:L6"/>
    <mergeCell ref="N6:P6"/>
    <mergeCell ref="Q6:S6"/>
    <mergeCell ref="T6:V6"/>
    <mergeCell ref="Q7:Q10"/>
    <mergeCell ref="R7:R10"/>
    <mergeCell ref="S7:S10"/>
    <mergeCell ref="T7:T10"/>
    <mergeCell ref="U7:U10"/>
    <mergeCell ref="H8:H10"/>
    <mergeCell ref="I8:L8"/>
    <mergeCell ref="I9:I10"/>
    <mergeCell ref="J9:J10"/>
    <mergeCell ref="K9:K10"/>
    <mergeCell ref="L9:L10"/>
  </mergeCells>
  <pageMargins left="0.3" right="0.2" top="0.5" bottom="0.5" header="0.3" footer="0.3"/>
  <pageSetup paperSize="9" scale="75" orientation="landscape" r:id="rId1"/>
  <headerFooter>
    <oddFooter>&amp;CB7-&amp;P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677B-C2F2-4663-956F-CDBB94A20F45}">
  <sheetPr>
    <tabColor rgb="FF92D050"/>
  </sheetPr>
  <dimension ref="A1:AA1025"/>
  <sheetViews>
    <sheetView tabSelected="1" workbookViewId="0">
      <selection activeCell="A2" sqref="A2:K2"/>
    </sheetView>
  </sheetViews>
  <sheetFormatPr defaultColWidth="9.140625" defaultRowHeight="12.75" x14ac:dyDescent="0.2"/>
  <cols>
    <col min="1" max="1" width="5.85546875" style="328" customWidth="1"/>
    <col min="2" max="2" width="29.7109375" style="172" customWidth="1"/>
    <col min="3" max="3" width="7.42578125" style="172" customWidth="1"/>
    <col min="4" max="4" width="13.42578125" style="172" customWidth="1"/>
    <col min="5" max="5" width="12.85546875" style="172" customWidth="1"/>
    <col min="6" max="6" width="10.85546875" style="172" customWidth="1"/>
    <col min="7" max="7" width="24.85546875" style="172" customWidth="1"/>
    <col min="8" max="8" width="10.5703125" style="172" customWidth="1"/>
    <col min="9" max="9" width="8.5703125" style="172" customWidth="1"/>
    <col min="10" max="10" width="25.5703125" style="172" customWidth="1"/>
    <col min="11" max="11" width="12.5703125" style="172" customWidth="1"/>
    <col min="12" max="27" width="0" style="172" hidden="1" customWidth="1"/>
    <col min="28" max="16384" width="9.140625" style="172"/>
  </cols>
  <sheetData>
    <row r="1" spans="1:25" ht="16.5" x14ac:dyDescent="0.25">
      <c r="A1" s="347" t="s">
        <v>0</v>
      </c>
      <c r="B1" s="347"/>
      <c r="C1" s="312"/>
      <c r="D1" s="312"/>
      <c r="E1" s="312"/>
      <c r="F1" s="312"/>
      <c r="G1" s="312"/>
      <c r="H1" s="312"/>
      <c r="I1" s="312"/>
      <c r="J1" s="392" t="s">
        <v>753</v>
      </c>
      <c r="K1" s="392"/>
    </row>
    <row r="2" spans="1:25" ht="16.5" x14ac:dyDescent="0.25">
      <c r="A2" s="392" t="s">
        <v>1</v>
      </c>
      <c r="B2" s="392"/>
      <c r="C2" s="392"/>
      <c r="D2" s="392"/>
      <c r="E2" s="392"/>
      <c r="F2" s="392"/>
      <c r="G2" s="392"/>
      <c r="H2" s="392"/>
      <c r="I2" s="392"/>
      <c r="J2" s="392"/>
      <c r="K2" s="392"/>
    </row>
    <row r="3" spans="1:25" s="313" customFormat="1" ht="36.75" customHeight="1" x14ac:dyDescent="0.25">
      <c r="A3" s="393" t="s">
        <v>725</v>
      </c>
      <c r="B3" s="393"/>
      <c r="C3" s="393"/>
      <c r="D3" s="393"/>
      <c r="E3" s="393"/>
      <c r="F3" s="393"/>
      <c r="G3" s="393"/>
      <c r="H3" s="393"/>
      <c r="I3" s="393"/>
      <c r="J3" s="393"/>
      <c r="K3" s="393"/>
    </row>
    <row r="4" spans="1:25" s="314" customFormat="1" ht="19.5" customHeight="1" x14ac:dyDescent="0.25">
      <c r="A4" s="394" t="s">
        <v>747</v>
      </c>
      <c r="B4" s="394"/>
      <c r="C4" s="394"/>
      <c r="D4" s="394"/>
      <c r="E4" s="394"/>
      <c r="F4" s="394"/>
      <c r="G4" s="394"/>
      <c r="H4" s="394"/>
      <c r="I4" s="394"/>
      <c r="J4" s="394"/>
      <c r="K4" s="394"/>
    </row>
    <row r="5" spans="1:25" s="313" customFormat="1" ht="18" customHeight="1" x14ac:dyDescent="0.25">
      <c r="A5" s="315"/>
      <c r="G5" s="395" t="s">
        <v>726</v>
      </c>
      <c r="H5" s="395"/>
      <c r="I5" s="395"/>
      <c r="J5" s="395"/>
      <c r="K5" s="396"/>
    </row>
    <row r="6" spans="1:25" s="166" customFormat="1" ht="24.75" customHeight="1" x14ac:dyDescent="0.25">
      <c r="A6" s="382" t="s">
        <v>520</v>
      </c>
      <c r="B6" s="382" t="s">
        <v>727</v>
      </c>
      <c r="C6" s="382" t="s">
        <v>728</v>
      </c>
      <c r="D6" s="382" t="s">
        <v>729</v>
      </c>
      <c r="E6" s="382"/>
      <c r="F6" s="382"/>
      <c r="G6" s="382"/>
      <c r="H6" s="382"/>
      <c r="I6" s="382"/>
      <c r="J6" s="382"/>
      <c r="K6" s="382" t="s">
        <v>17</v>
      </c>
    </row>
    <row r="7" spans="1:25" s="166" customFormat="1" ht="21" customHeight="1" x14ac:dyDescent="0.25">
      <c r="A7" s="382"/>
      <c r="B7" s="382"/>
      <c r="C7" s="382"/>
      <c r="D7" s="382" t="s">
        <v>26</v>
      </c>
      <c r="E7" s="382" t="s">
        <v>27</v>
      </c>
      <c r="F7" s="382"/>
      <c r="G7" s="382"/>
      <c r="H7" s="382"/>
      <c r="I7" s="382"/>
      <c r="J7" s="382"/>
      <c r="K7" s="382"/>
    </row>
    <row r="8" spans="1:25" s="166" customFormat="1" ht="22.5" customHeight="1" x14ac:dyDescent="0.25">
      <c r="A8" s="382"/>
      <c r="B8" s="382"/>
      <c r="C8" s="382"/>
      <c r="D8" s="382"/>
      <c r="E8" s="382" t="s">
        <v>686</v>
      </c>
      <c r="F8" s="382"/>
      <c r="G8" s="382"/>
      <c r="H8" s="382" t="s">
        <v>730</v>
      </c>
      <c r="I8" s="382"/>
      <c r="J8" s="382"/>
      <c r="K8" s="382"/>
    </row>
    <row r="9" spans="1:25" s="166" customFormat="1" ht="20.25" customHeight="1" x14ac:dyDescent="0.25">
      <c r="A9" s="382"/>
      <c r="B9" s="382"/>
      <c r="C9" s="382"/>
      <c r="D9" s="382"/>
      <c r="E9" s="382" t="s">
        <v>26</v>
      </c>
      <c r="F9" s="382" t="s">
        <v>27</v>
      </c>
      <c r="G9" s="382"/>
      <c r="H9" s="382" t="s">
        <v>26</v>
      </c>
      <c r="I9" s="382" t="s">
        <v>27</v>
      </c>
      <c r="J9" s="382"/>
      <c r="K9" s="382"/>
    </row>
    <row r="10" spans="1:25" s="166" customFormat="1" ht="68.25" customHeight="1" x14ac:dyDescent="0.25">
      <c r="A10" s="366"/>
      <c r="B10" s="366"/>
      <c r="C10" s="366"/>
      <c r="D10" s="366"/>
      <c r="E10" s="366"/>
      <c r="F10" s="255" t="s">
        <v>731</v>
      </c>
      <c r="G10" s="255" t="s">
        <v>732</v>
      </c>
      <c r="H10" s="366"/>
      <c r="I10" s="255" t="s">
        <v>731</v>
      </c>
      <c r="J10" s="255" t="s">
        <v>732</v>
      </c>
      <c r="K10" s="366"/>
    </row>
    <row r="11" spans="1:25" s="166" customFormat="1" ht="24" customHeight="1" x14ac:dyDescent="0.25">
      <c r="A11" s="316"/>
      <c r="B11" s="316" t="s">
        <v>648</v>
      </c>
      <c r="C11" s="316"/>
      <c r="D11" s="317">
        <f t="shared" ref="D11:J11" si="0">SUM(D12:D26)</f>
        <v>194486</v>
      </c>
      <c r="E11" s="317">
        <f t="shared" si="0"/>
        <v>137000</v>
      </c>
      <c r="F11" s="317">
        <f t="shared" si="0"/>
        <v>23311</v>
      </c>
      <c r="G11" s="317">
        <f t="shared" si="0"/>
        <v>113689</v>
      </c>
      <c r="H11" s="317">
        <f t="shared" si="0"/>
        <v>57486</v>
      </c>
      <c r="I11" s="317">
        <f t="shared" si="0"/>
        <v>4400</v>
      </c>
      <c r="J11" s="317">
        <f t="shared" si="0"/>
        <v>53086</v>
      </c>
      <c r="K11" s="316"/>
      <c r="M11" s="318">
        <f>F11-15800</f>
        <v>7511</v>
      </c>
      <c r="N11" s="166">
        <f>O11+P11</f>
        <v>160200</v>
      </c>
      <c r="O11" s="166">
        <v>120200</v>
      </c>
      <c r="P11" s="166">
        <v>40000</v>
      </c>
      <c r="U11" s="318">
        <f>137000-E11</f>
        <v>0</v>
      </c>
      <c r="V11" s="318">
        <f>H11-'[24]Bieu 3'!H44</f>
        <v>0</v>
      </c>
      <c r="W11" s="318">
        <f>J11+G11</f>
        <v>166775</v>
      </c>
      <c r="X11" s="318">
        <f>I11+F11</f>
        <v>27711</v>
      </c>
      <c r="Y11" s="166" t="e">
        <f>'[24]B5a-KCM'!AK83+'45.3'!Z16+'45.4'!#REF!+'45.5'!AK26+'45.6'!U20</f>
        <v>#REF!</v>
      </c>
    </row>
    <row r="12" spans="1:25" s="313" customFormat="1" ht="22.15" customHeight="1" x14ac:dyDescent="0.25">
      <c r="A12" s="319">
        <v>1</v>
      </c>
      <c r="B12" s="320" t="s">
        <v>733</v>
      </c>
      <c r="C12" s="319" t="s">
        <v>35</v>
      </c>
      <c r="D12" s="321">
        <f t="shared" ref="D12:D26" si="1">E12+H12</f>
        <v>7000</v>
      </c>
      <c r="E12" s="321">
        <f t="shared" ref="E12:E26" si="2">F12+G12</f>
        <v>5000</v>
      </c>
      <c r="F12" s="322"/>
      <c r="G12" s="322">
        <v>5000</v>
      </c>
      <c r="H12" s="321">
        <f t="shared" ref="H12:H26" si="3">I12+J12</f>
        <v>2000</v>
      </c>
      <c r="I12" s="322"/>
      <c r="J12" s="322">
        <v>2000</v>
      </c>
      <c r="K12" s="320"/>
      <c r="N12" s="166">
        <f>O12+P12</f>
        <v>-34286</v>
      </c>
      <c r="O12" s="323">
        <f>O11-E11</f>
        <v>-16800</v>
      </c>
      <c r="P12" s="323">
        <f>P11-H11</f>
        <v>-17486</v>
      </c>
    </row>
    <row r="13" spans="1:25" s="313" customFormat="1" ht="22.15" customHeight="1" x14ac:dyDescent="0.25">
      <c r="A13" s="319">
        <v>2</v>
      </c>
      <c r="B13" s="320" t="s">
        <v>319</v>
      </c>
      <c r="C13" s="319" t="s">
        <v>58</v>
      </c>
      <c r="D13" s="321">
        <f t="shared" si="1"/>
        <v>9900</v>
      </c>
      <c r="E13" s="321">
        <f t="shared" si="2"/>
        <v>7400</v>
      </c>
      <c r="F13" s="322">
        <v>1200</v>
      </c>
      <c r="G13" s="322">
        <f>8700-2000-500</f>
        <v>6200</v>
      </c>
      <c r="H13" s="321">
        <f t="shared" si="3"/>
        <v>2500</v>
      </c>
      <c r="I13" s="322"/>
      <c r="J13" s="322">
        <v>2500</v>
      </c>
      <c r="K13" s="320"/>
      <c r="N13" s="166"/>
      <c r="O13" s="323"/>
      <c r="P13" s="323"/>
    </row>
    <row r="14" spans="1:25" s="313" customFormat="1" ht="22.15" customHeight="1" x14ac:dyDescent="0.25">
      <c r="A14" s="319">
        <v>3</v>
      </c>
      <c r="B14" s="320" t="s">
        <v>95</v>
      </c>
      <c r="C14" s="319" t="s">
        <v>72</v>
      </c>
      <c r="D14" s="321">
        <f t="shared" si="1"/>
        <v>14750</v>
      </c>
      <c r="E14" s="321">
        <f t="shared" si="2"/>
        <v>12250</v>
      </c>
      <c r="F14" s="322">
        <v>2150</v>
      </c>
      <c r="G14" s="322">
        <f>12600-2500+2000-500-1500</f>
        <v>10100</v>
      </c>
      <c r="H14" s="321">
        <f t="shared" si="3"/>
        <v>2500</v>
      </c>
      <c r="I14" s="322"/>
      <c r="J14" s="322">
        <v>2500</v>
      </c>
      <c r="K14" s="320"/>
      <c r="N14" s="166"/>
      <c r="O14" s="323"/>
      <c r="P14" s="323"/>
    </row>
    <row r="15" spans="1:25" s="313" customFormat="1" ht="22.15" customHeight="1" x14ac:dyDescent="0.25">
      <c r="A15" s="319">
        <v>4</v>
      </c>
      <c r="B15" s="320" t="s">
        <v>734</v>
      </c>
      <c r="C15" s="319" t="s">
        <v>66</v>
      </c>
      <c r="D15" s="321">
        <f t="shared" si="1"/>
        <v>8600</v>
      </c>
      <c r="E15" s="321">
        <f t="shared" si="2"/>
        <v>6100</v>
      </c>
      <c r="F15" s="322">
        <v>1500</v>
      </c>
      <c r="G15" s="322">
        <f>7100-2500</f>
        <v>4600</v>
      </c>
      <c r="H15" s="321">
        <f t="shared" si="3"/>
        <v>2500</v>
      </c>
      <c r="I15" s="322"/>
      <c r="J15" s="322">
        <v>2500</v>
      </c>
      <c r="K15" s="320"/>
      <c r="N15" s="166"/>
      <c r="O15" s="323"/>
      <c r="P15" s="323"/>
    </row>
    <row r="16" spans="1:25" s="313" customFormat="1" ht="22.15" customHeight="1" x14ac:dyDescent="0.25">
      <c r="A16" s="319">
        <v>5</v>
      </c>
      <c r="B16" s="320" t="s">
        <v>735</v>
      </c>
      <c r="C16" s="319" t="s">
        <v>58</v>
      </c>
      <c r="D16" s="321">
        <f t="shared" si="1"/>
        <v>11100</v>
      </c>
      <c r="E16" s="321">
        <f t="shared" si="2"/>
        <v>8800</v>
      </c>
      <c r="F16" s="322">
        <v>1511</v>
      </c>
      <c r="G16" s="322">
        <f>9589-2000-300</f>
        <v>7289</v>
      </c>
      <c r="H16" s="321">
        <f t="shared" si="3"/>
        <v>2300</v>
      </c>
      <c r="I16" s="322"/>
      <c r="J16" s="322">
        <v>2300</v>
      </c>
      <c r="K16" s="320"/>
      <c r="N16" s="166"/>
      <c r="O16" s="323"/>
      <c r="P16" s="323"/>
    </row>
    <row r="17" spans="1:27" s="313" customFormat="1" ht="22.15" customHeight="1" x14ac:dyDescent="0.25">
      <c r="A17" s="319">
        <v>6</v>
      </c>
      <c r="B17" s="320" t="s">
        <v>736</v>
      </c>
      <c r="C17" s="319" t="s">
        <v>72</v>
      </c>
      <c r="D17" s="321">
        <f t="shared" si="1"/>
        <v>11500</v>
      </c>
      <c r="E17" s="321">
        <f t="shared" si="2"/>
        <v>9000</v>
      </c>
      <c r="F17" s="322">
        <v>1700</v>
      </c>
      <c r="G17" s="322">
        <f>9800-2500</f>
        <v>7300</v>
      </c>
      <c r="H17" s="321">
        <f t="shared" si="3"/>
        <v>2500</v>
      </c>
      <c r="I17" s="322"/>
      <c r="J17" s="322">
        <v>2500</v>
      </c>
      <c r="K17" s="320"/>
      <c r="N17" s="166"/>
      <c r="O17" s="323"/>
      <c r="P17" s="323"/>
    </row>
    <row r="18" spans="1:27" s="313" customFormat="1" ht="22.15" customHeight="1" x14ac:dyDescent="0.25">
      <c r="A18" s="319">
        <v>7</v>
      </c>
      <c r="B18" s="320" t="s">
        <v>153</v>
      </c>
      <c r="C18" s="319" t="s">
        <v>58</v>
      </c>
      <c r="D18" s="321">
        <f t="shared" si="1"/>
        <v>13236</v>
      </c>
      <c r="E18" s="321">
        <f t="shared" si="2"/>
        <v>7236</v>
      </c>
      <c r="F18" s="322">
        <v>2350</v>
      </c>
      <c r="G18" s="322">
        <f>10886-2000-4000</f>
        <v>4886</v>
      </c>
      <c r="H18" s="321">
        <f t="shared" si="3"/>
        <v>6000</v>
      </c>
      <c r="I18" s="322"/>
      <c r="J18" s="322">
        <v>6000</v>
      </c>
      <c r="K18" s="320"/>
      <c r="N18" s="166"/>
      <c r="O18" s="323"/>
      <c r="P18" s="323"/>
    </row>
    <row r="19" spans="1:27" s="313" customFormat="1" ht="22.15" customHeight="1" x14ac:dyDescent="0.25">
      <c r="A19" s="319">
        <v>8</v>
      </c>
      <c r="B19" s="320" t="s">
        <v>84</v>
      </c>
      <c r="C19" s="319" t="s">
        <v>58</v>
      </c>
      <c r="D19" s="321">
        <f t="shared" si="1"/>
        <v>12600</v>
      </c>
      <c r="E19" s="321">
        <f t="shared" si="2"/>
        <v>10100</v>
      </c>
      <c r="F19" s="322">
        <v>1600</v>
      </c>
      <c r="G19" s="322">
        <f>11000-2000-500</f>
        <v>8500</v>
      </c>
      <c r="H19" s="321">
        <f t="shared" si="3"/>
        <v>2500</v>
      </c>
      <c r="I19" s="322"/>
      <c r="J19" s="322">
        <v>2500</v>
      </c>
      <c r="K19" s="320"/>
      <c r="N19" s="166"/>
      <c r="O19" s="323"/>
      <c r="P19" s="323"/>
    </row>
    <row r="20" spans="1:27" s="313" customFormat="1" ht="22.15" customHeight="1" x14ac:dyDescent="0.25">
      <c r="A20" s="319">
        <v>9</v>
      </c>
      <c r="B20" s="320" t="s">
        <v>737</v>
      </c>
      <c r="C20" s="319" t="s">
        <v>72</v>
      </c>
      <c r="D20" s="321">
        <f t="shared" si="1"/>
        <v>20100</v>
      </c>
      <c r="E20" s="321">
        <f t="shared" si="2"/>
        <v>15614</v>
      </c>
      <c r="F20" s="322">
        <v>3400</v>
      </c>
      <c r="G20" s="322">
        <f>16700-2500-2986+1000</f>
        <v>12214</v>
      </c>
      <c r="H20" s="321">
        <f t="shared" si="3"/>
        <v>4486</v>
      </c>
      <c r="I20" s="322"/>
      <c r="J20" s="322">
        <f>3486+1000</f>
        <v>4486</v>
      </c>
      <c r="K20" s="320"/>
      <c r="N20" s="166"/>
      <c r="O20" s="323"/>
      <c r="P20" s="323"/>
      <c r="U20" s="323">
        <f>D20-18100</f>
        <v>2000</v>
      </c>
    </row>
    <row r="21" spans="1:27" s="313" customFormat="1" ht="22.15" customHeight="1" x14ac:dyDescent="0.25">
      <c r="A21" s="319">
        <v>10</v>
      </c>
      <c r="B21" s="320" t="s">
        <v>738</v>
      </c>
      <c r="C21" s="319" t="s">
        <v>58</v>
      </c>
      <c r="D21" s="321">
        <f t="shared" si="1"/>
        <v>13800</v>
      </c>
      <c r="E21" s="321">
        <f t="shared" si="2"/>
        <v>11300</v>
      </c>
      <c r="F21" s="322">
        <v>2400</v>
      </c>
      <c r="G21" s="322">
        <f>11400-2000-500</f>
        <v>8900</v>
      </c>
      <c r="H21" s="321">
        <f t="shared" si="3"/>
        <v>2500</v>
      </c>
      <c r="I21" s="322"/>
      <c r="J21" s="322">
        <v>2500</v>
      </c>
      <c r="K21" s="320"/>
      <c r="N21" s="166"/>
      <c r="O21" s="323"/>
      <c r="P21" s="323"/>
    </row>
    <row r="22" spans="1:27" s="313" customFormat="1" ht="22.15" customHeight="1" x14ac:dyDescent="0.25">
      <c r="A22" s="319">
        <v>11</v>
      </c>
      <c r="B22" s="320" t="s">
        <v>739</v>
      </c>
      <c r="C22" s="319" t="s">
        <v>72</v>
      </c>
      <c r="D22" s="321">
        <f t="shared" si="1"/>
        <v>13500</v>
      </c>
      <c r="E22" s="321">
        <f t="shared" si="2"/>
        <v>11000</v>
      </c>
      <c r="F22" s="322">
        <v>2000</v>
      </c>
      <c r="G22" s="322">
        <f>11500-2500</f>
        <v>9000</v>
      </c>
      <c r="H22" s="321">
        <f t="shared" si="3"/>
        <v>2500</v>
      </c>
      <c r="I22" s="322"/>
      <c r="J22" s="322">
        <v>2500</v>
      </c>
      <c r="K22" s="320"/>
      <c r="N22" s="166"/>
      <c r="O22" s="323"/>
      <c r="P22" s="323"/>
    </row>
    <row r="23" spans="1:27" s="313" customFormat="1" ht="22.15" customHeight="1" x14ac:dyDescent="0.25">
      <c r="A23" s="319">
        <v>12</v>
      </c>
      <c r="B23" s="320" t="s">
        <v>740</v>
      </c>
      <c r="C23" s="319" t="s">
        <v>72</v>
      </c>
      <c r="D23" s="321">
        <f t="shared" si="1"/>
        <v>17200</v>
      </c>
      <c r="E23" s="321">
        <f t="shared" si="2"/>
        <v>4500</v>
      </c>
      <c r="F23" s="322"/>
      <c r="G23" s="322">
        <v>4500</v>
      </c>
      <c r="H23" s="321">
        <f t="shared" si="3"/>
        <v>12700</v>
      </c>
      <c r="I23" s="322">
        <v>2900</v>
      </c>
      <c r="J23" s="322">
        <f>10300-500</f>
        <v>9800</v>
      </c>
      <c r="K23" s="320"/>
      <c r="N23" s="166"/>
      <c r="O23" s="323"/>
      <c r="P23" s="323"/>
    </row>
    <row r="24" spans="1:27" s="313" customFormat="1" ht="22.15" customHeight="1" x14ac:dyDescent="0.25">
      <c r="A24" s="319">
        <v>13</v>
      </c>
      <c r="B24" s="320" t="s">
        <v>176</v>
      </c>
      <c r="C24" s="319" t="s">
        <v>72</v>
      </c>
      <c r="D24" s="321">
        <f t="shared" si="1"/>
        <v>13600</v>
      </c>
      <c r="E24" s="321">
        <f t="shared" si="2"/>
        <v>11100</v>
      </c>
      <c r="F24" s="322">
        <v>1800</v>
      </c>
      <c r="G24" s="322">
        <f>11800-3986-14+500+1000</f>
        <v>9300</v>
      </c>
      <c r="H24" s="321">
        <f t="shared" si="3"/>
        <v>2500</v>
      </c>
      <c r="I24" s="322"/>
      <c r="J24" s="322">
        <v>2500</v>
      </c>
      <c r="K24" s="320"/>
      <c r="N24" s="166"/>
      <c r="O24" s="323"/>
      <c r="P24" s="323"/>
    </row>
    <row r="25" spans="1:27" s="313" customFormat="1" ht="22.15" customHeight="1" x14ac:dyDescent="0.25">
      <c r="A25" s="319">
        <v>14</v>
      </c>
      <c r="B25" s="320" t="s">
        <v>137</v>
      </c>
      <c r="C25" s="319" t="s">
        <v>66</v>
      </c>
      <c r="D25" s="321">
        <f t="shared" si="1"/>
        <v>10300</v>
      </c>
      <c r="E25" s="321">
        <f t="shared" si="2"/>
        <v>2800</v>
      </c>
      <c r="F25" s="322"/>
      <c r="G25" s="322">
        <f>2800</f>
        <v>2800</v>
      </c>
      <c r="H25" s="321">
        <f t="shared" si="3"/>
        <v>7500</v>
      </c>
      <c r="I25" s="322">
        <v>1500</v>
      </c>
      <c r="J25" s="322">
        <v>6000</v>
      </c>
      <c r="K25" s="320"/>
      <c r="N25" s="166"/>
      <c r="O25" s="323"/>
      <c r="P25" s="323"/>
    </row>
    <row r="26" spans="1:27" s="313" customFormat="1" ht="22.15" customHeight="1" x14ac:dyDescent="0.25">
      <c r="A26" s="324">
        <v>15</v>
      </c>
      <c r="B26" s="325" t="s">
        <v>741</v>
      </c>
      <c r="C26" s="324" t="s">
        <v>72</v>
      </c>
      <c r="D26" s="326">
        <f t="shared" si="1"/>
        <v>17300</v>
      </c>
      <c r="E26" s="326">
        <f t="shared" si="2"/>
        <v>14800</v>
      </c>
      <c r="F26" s="327">
        <v>1700</v>
      </c>
      <c r="G26" s="327">
        <f>15600-2500</f>
        <v>13100</v>
      </c>
      <c r="H26" s="326">
        <f t="shared" si="3"/>
        <v>2500</v>
      </c>
      <c r="I26" s="327"/>
      <c r="J26" s="327">
        <v>2500</v>
      </c>
      <c r="K26" s="325"/>
      <c r="N26" s="166"/>
      <c r="O26" s="323"/>
      <c r="P26" s="323"/>
    </row>
    <row r="28" spans="1:27" ht="18.75" hidden="1" x14ac:dyDescent="0.2">
      <c r="A28" s="389" t="s">
        <v>742</v>
      </c>
      <c r="B28" s="389"/>
      <c r="F28" s="390" t="s">
        <v>743</v>
      </c>
      <c r="G28" s="390"/>
      <c r="H28" s="390"/>
      <c r="I28" s="390"/>
      <c r="J28" s="390"/>
      <c r="K28" s="390"/>
      <c r="L28" s="103"/>
      <c r="M28" s="103"/>
      <c r="N28" s="103"/>
      <c r="O28" s="103"/>
      <c r="P28" s="103"/>
      <c r="Q28" s="103"/>
      <c r="R28" s="103"/>
      <c r="S28" s="329" t="s">
        <v>743</v>
      </c>
      <c r="T28" s="329"/>
      <c r="U28" s="329"/>
      <c r="V28" s="329"/>
      <c r="W28" s="329"/>
      <c r="X28" s="250"/>
      <c r="Y28" s="330"/>
      <c r="Z28" s="330"/>
      <c r="AA28" s="331"/>
    </row>
    <row r="29" spans="1:27" ht="18.75" hidden="1" x14ac:dyDescent="0.2">
      <c r="A29" s="250"/>
      <c r="B29" s="250"/>
      <c r="C29" s="250"/>
      <c r="D29" s="250"/>
      <c r="E29" s="250"/>
      <c r="F29" s="250"/>
      <c r="G29" s="250"/>
      <c r="H29" s="250"/>
      <c r="I29" s="250"/>
      <c r="J29" s="250"/>
      <c r="K29" s="250"/>
      <c r="L29" s="103"/>
      <c r="M29" s="103"/>
      <c r="N29" s="103"/>
      <c r="O29" s="103"/>
      <c r="P29" s="103"/>
      <c r="Q29" s="103"/>
      <c r="R29" s="103"/>
      <c r="S29" s="250"/>
      <c r="T29" s="250"/>
      <c r="U29" s="250"/>
      <c r="V29" s="250"/>
      <c r="W29" s="250"/>
      <c r="X29" s="250"/>
      <c r="Y29" s="330"/>
      <c r="Z29" s="330"/>
      <c r="AA29" s="331"/>
    </row>
    <row r="30" spans="1:27" ht="18.75" hidden="1" x14ac:dyDescent="0.2">
      <c r="A30" s="250"/>
      <c r="B30" s="250"/>
      <c r="C30" s="250"/>
      <c r="D30" s="250"/>
      <c r="E30" s="250"/>
      <c r="F30" s="250"/>
      <c r="G30" s="250"/>
      <c r="H30" s="250"/>
      <c r="I30" s="250"/>
      <c r="J30" s="250"/>
      <c r="K30" s="250"/>
      <c r="L30" s="103"/>
      <c r="M30" s="103"/>
      <c r="N30" s="103"/>
      <c r="O30" s="103"/>
      <c r="P30" s="103"/>
      <c r="Q30" s="103"/>
      <c r="R30" s="103"/>
      <c r="S30" s="250"/>
      <c r="T30" s="250"/>
      <c r="U30" s="250"/>
      <c r="V30" s="250"/>
      <c r="W30" s="250"/>
      <c r="X30" s="250"/>
      <c r="Y30" s="330"/>
      <c r="Z30" s="330"/>
      <c r="AA30" s="331"/>
    </row>
    <row r="31" spans="1:27" ht="18.75" hidden="1" x14ac:dyDescent="0.2">
      <c r="A31" s="250"/>
      <c r="B31" s="250"/>
      <c r="C31" s="250"/>
      <c r="D31" s="250"/>
      <c r="E31" s="250"/>
      <c r="F31" s="250"/>
      <c r="G31" s="250"/>
      <c r="H31" s="250"/>
      <c r="I31" s="250"/>
      <c r="J31" s="250"/>
      <c r="K31" s="250"/>
      <c r="L31" s="103"/>
      <c r="M31" s="103"/>
      <c r="N31" s="103"/>
      <c r="O31" s="103"/>
      <c r="P31" s="103"/>
      <c r="Q31" s="103"/>
      <c r="R31" s="103"/>
      <c r="S31" s="250"/>
      <c r="T31" s="250"/>
      <c r="U31" s="250"/>
      <c r="V31" s="250"/>
      <c r="W31" s="250"/>
      <c r="X31" s="250"/>
      <c r="Y31" s="330"/>
      <c r="Z31" s="330"/>
      <c r="AA31" s="331"/>
    </row>
    <row r="32" spans="1:27" ht="18.75" hidden="1" x14ac:dyDescent="0.2">
      <c r="A32" s="349" t="s">
        <v>744</v>
      </c>
      <c r="B32" s="349"/>
      <c r="C32" s="130"/>
      <c r="D32" s="130"/>
      <c r="E32" s="130"/>
      <c r="F32" s="391" t="s">
        <v>745</v>
      </c>
      <c r="G32" s="391"/>
      <c r="H32" s="391"/>
      <c r="I32" s="391"/>
      <c r="J32" s="391"/>
      <c r="K32" s="391"/>
      <c r="L32" s="103"/>
      <c r="M32" s="103"/>
      <c r="N32" s="103"/>
      <c r="O32" s="103"/>
      <c r="P32" s="103"/>
      <c r="Q32" s="103"/>
      <c r="R32" s="103"/>
      <c r="S32" s="388" t="s">
        <v>745</v>
      </c>
      <c r="T32" s="388"/>
      <c r="U32" s="388"/>
      <c r="V32" s="388"/>
      <c r="W32" s="388"/>
      <c r="X32" s="388"/>
      <c r="Y32" s="388"/>
      <c r="Z32" s="388"/>
      <c r="AA32" s="388"/>
    </row>
    <row r="33" spans="1:1" hidden="1" x14ac:dyDescent="0.2"/>
    <row r="34" spans="1:1" x14ac:dyDescent="0.2">
      <c r="A34" s="172"/>
    </row>
    <row r="35" spans="1:1" x14ac:dyDescent="0.2">
      <c r="A35" s="172"/>
    </row>
    <row r="36" spans="1:1" x14ac:dyDescent="0.2">
      <c r="A36" s="172"/>
    </row>
    <row r="37" spans="1:1" x14ac:dyDescent="0.2">
      <c r="A37" s="172"/>
    </row>
    <row r="38" spans="1:1" x14ac:dyDescent="0.2">
      <c r="A38" s="172"/>
    </row>
    <row r="39" spans="1:1" x14ac:dyDescent="0.2">
      <c r="A39" s="172"/>
    </row>
    <row r="40" spans="1:1" x14ac:dyDescent="0.2">
      <c r="A40" s="172"/>
    </row>
    <row r="41" spans="1:1" x14ac:dyDescent="0.2">
      <c r="A41" s="172"/>
    </row>
    <row r="42" spans="1:1" x14ac:dyDescent="0.2">
      <c r="A42" s="172"/>
    </row>
    <row r="43" spans="1:1" x14ac:dyDescent="0.2">
      <c r="A43" s="172"/>
    </row>
    <row r="44" spans="1:1" x14ac:dyDescent="0.2">
      <c r="A44" s="172"/>
    </row>
    <row r="45" spans="1:1" x14ac:dyDescent="0.2">
      <c r="A45" s="172"/>
    </row>
    <row r="46" spans="1:1" x14ac:dyDescent="0.2">
      <c r="A46" s="172"/>
    </row>
    <row r="47" spans="1:1" x14ac:dyDescent="0.2">
      <c r="A47" s="172"/>
    </row>
    <row r="48" spans="1:1" x14ac:dyDescent="0.2">
      <c r="A48" s="172"/>
    </row>
    <row r="49" spans="1:1" x14ac:dyDescent="0.2">
      <c r="A49" s="172"/>
    </row>
    <row r="50" spans="1:1" x14ac:dyDescent="0.2">
      <c r="A50" s="172"/>
    </row>
    <row r="51" spans="1:1" x14ac:dyDescent="0.2">
      <c r="A51" s="172"/>
    </row>
    <row r="52" spans="1:1" x14ac:dyDescent="0.2">
      <c r="A52" s="172"/>
    </row>
    <row r="53" spans="1:1" x14ac:dyDescent="0.2">
      <c r="A53" s="172"/>
    </row>
    <row r="54" spans="1:1" x14ac:dyDescent="0.2">
      <c r="A54" s="172"/>
    </row>
    <row r="55" spans="1:1" x14ac:dyDescent="0.2">
      <c r="A55" s="172"/>
    </row>
    <row r="56" spans="1:1" x14ac:dyDescent="0.2">
      <c r="A56" s="172"/>
    </row>
    <row r="57" spans="1:1" x14ac:dyDescent="0.2">
      <c r="A57" s="172"/>
    </row>
    <row r="58" spans="1:1" x14ac:dyDescent="0.2">
      <c r="A58" s="172"/>
    </row>
    <row r="59" spans="1:1" x14ac:dyDescent="0.2">
      <c r="A59" s="172"/>
    </row>
    <row r="60" spans="1:1" x14ac:dyDescent="0.2">
      <c r="A60" s="172"/>
    </row>
    <row r="61" spans="1:1" x14ac:dyDescent="0.2">
      <c r="A61" s="172"/>
    </row>
    <row r="62" spans="1:1" x14ac:dyDescent="0.2">
      <c r="A62" s="172"/>
    </row>
    <row r="63" spans="1:1" x14ac:dyDescent="0.2">
      <c r="A63" s="172"/>
    </row>
    <row r="64" spans="1:1" x14ac:dyDescent="0.2">
      <c r="A64" s="172"/>
    </row>
    <row r="65" spans="1:1" x14ac:dyDescent="0.2">
      <c r="A65" s="172"/>
    </row>
    <row r="66" spans="1:1" x14ac:dyDescent="0.2">
      <c r="A66" s="172"/>
    </row>
    <row r="67" spans="1:1" x14ac:dyDescent="0.2">
      <c r="A67" s="172"/>
    </row>
    <row r="68" spans="1:1" x14ac:dyDescent="0.2">
      <c r="A68" s="172"/>
    </row>
    <row r="69" spans="1:1" x14ac:dyDescent="0.2">
      <c r="A69" s="172"/>
    </row>
    <row r="70" spans="1:1" x14ac:dyDescent="0.2">
      <c r="A70" s="172"/>
    </row>
    <row r="71" spans="1:1" x14ac:dyDescent="0.2">
      <c r="A71" s="172"/>
    </row>
    <row r="72" spans="1:1" x14ac:dyDescent="0.2">
      <c r="A72" s="172"/>
    </row>
    <row r="73" spans="1:1" x14ac:dyDescent="0.2">
      <c r="A73" s="172"/>
    </row>
    <row r="74" spans="1:1" x14ac:dyDescent="0.2">
      <c r="A74" s="172"/>
    </row>
    <row r="75" spans="1:1" x14ac:dyDescent="0.2">
      <c r="A75" s="172"/>
    </row>
    <row r="76" spans="1:1" x14ac:dyDescent="0.2">
      <c r="A76" s="172"/>
    </row>
    <row r="77" spans="1:1" x14ac:dyDescent="0.2">
      <c r="A77" s="172"/>
    </row>
    <row r="78" spans="1:1" x14ac:dyDescent="0.2">
      <c r="A78" s="172"/>
    </row>
    <row r="79" spans="1:1" x14ac:dyDescent="0.2">
      <c r="A79" s="172"/>
    </row>
    <row r="80" spans="1:1" x14ac:dyDescent="0.2">
      <c r="A80" s="172"/>
    </row>
    <row r="81" spans="1:1" x14ac:dyDescent="0.2">
      <c r="A81" s="172"/>
    </row>
    <row r="82" spans="1:1" x14ac:dyDescent="0.2">
      <c r="A82" s="172"/>
    </row>
    <row r="83" spans="1:1" x14ac:dyDescent="0.2">
      <c r="A83" s="172"/>
    </row>
    <row r="84" spans="1:1" x14ac:dyDescent="0.2">
      <c r="A84" s="172"/>
    </row>
    <row r="85" spans="1:1" x14ac:dyDescent="0.2">
      <c r="A85" s="172"/>
    </row>
    <row r="86" spans="1:1" x14ac:dyDescent="0.2">
      <c r="A86" s="172"/>
    </row>
    <row r="87" spans="1:1" x14ac:dyDescent="0.2">
      <c r="A87" s="172"/>
    </row>
    <row r="88" spans="1:1" x14ac:dyDescent="0.2">
      <c r="A88" s="172"/>
    </row>
    <row r="89" spans="1:1" x14ac:dyDescent="0.2">
      <c r="A89" s="172"/>
    </row>
    <row r="90" spans="1:1" x14ac:dyDescent="0.2">
      <c r="A90" s="172"/>
    </row>
    <row r="91" spans="1:1" x14ac:dyDescent="0.2">
      <c r="A91" s="172"/>
    </row>
    <row r="92" spans="1:1" x14ac:dyDescent="0.2">
      <c r="A92" s="172"/>
    </row>
    <row r="93" spans="1:1" x14ac:dyDescent="0.2">
      <c r="A93" s="172"/>
    </row>
    <row r="94" spans="1:1" x14ac:dyDescent="0.2">
      <c r="A94" s="172"/>
    </row>
    <row r="95" spans="1:1" x14ac:dyDescent="0.2">
      <c r="A95" s="172"/>
    </row>
    <row r="96" spans="1:1" x14ac:dyDescent="0.2">
      <c r="A96" s="172"/>
    </row>
    <row r="97" spans="1:1" x14ac:dyDescent="0.2">
      <c r="A97" s="172"/>
    </row>
    <row r="98" spans="1:1" x14ac:dyDescent="0.2">
      <c r="A98" s="172"/>
    </row>
    <row r="99" spans="1:1" x14ac:dyDescent="0.2">
      <c r="A99" s="172"/>
    </row>
    <row r="100" spans="1:1" x14ac:dyDescent="0.2">
      <c r="A100" s="172"/>
    </row>
    <row r="101" spans="1:1" x14ac:dyDescent="0.2">
      <c r="A101" s="172"/>
    </row>
    <row r="102" spans="1:1" x14ac:dyDescent="0.2">
      <c r="A102" s="172"/>
    </row>
    <row r="103" spans="1:1" x14ac:dyDescent="0.2">
      <c r="A103" s="172"/>
    </row>
    <row r="104" spans="1:1" x14ac:dyDescent="0.2">
      <c r="A104" s="172"/>
    </row>
    <row r="105" spans="1:1" x14ac:dyDescent="0.2">
      <c r="A105" s="172"/>
    </row>
    <row r="106" spans="1:1" x14ac:dyDescent="0.2">
      <c r="A106" s="172"/>
    </row>
    <row r="107" spans="1:1" x14ac:dyDescent="0.2">
      <c r="A107" s="172"/>
    </row>
    <row r="108" spans="1:1" x14ac:dyDescent="0.2">
      <c r="A108" s="172"/>
    </row>
    <row r="109" spans="1:1" x14ac:dyDescent="0.2">
      <c r="A109" s="172"/>
    </row>
    <row r="110" spans="1:1" x14ac:dyDescent="0.2">
      <c r="A110" s="172"/>
    </row>
    <row r="111" spans="1:1" x14ac:dyDescent="0.2">
      <c r="A111" s="172"/>
    </row>
    <row r="112" spans="1:1" x14ac:dyDescent="0.2">
      <c r="A112" s="172"/>
    </row>
    <row r="113" spans="1:1" x14ac:dyDescent="0.2">
      <c r="A113" s="172"/>
    </row>
    <row r="114" spans="1:1" x14ac:dyDescent="0.2">
      <c r="A114" s="172"/>
    </row>
    <row r="115" spans="1:1" x14ac:dyDescent="0.2">
      <c r="A115" s="172"/>
    </row>
    <row r="116" spans="1:1" x14ac:dyDescent="0.2">
      <c r="A116" s="172"/>
    </row>
    <row r="117" spans="1:1" x14ac:dyDescent="0.2">
      <c r="A117" s="172"/>
    </row>
    <row r="118" spans="1:1" x14ac:dyDescent="0.2">
      <c r="A118" s="172"/>
    </row>
    <row r="119" spans="1:1" x14ac:dyDescent="0.2">
      <c r="A119" s="172"/>
    </row>
    <row r="120" spans="1:1" x14ac:dyDescent="0.2">
      <c r="A120" s="172"/>
    </row>
    <row r="121" spans="1:1" x14ac:dyDescent="0.2">
      <c r="A121" s="172"/>
    </row>
    <row r="122" spans="1:1" x14ac:dyDescent="0.2">
      <c r="A122" s="172"/>
    </row>
    <row r="123" spans="1:1" x14ac:dyDescent="0.2">
      <c r="A123" s="172"/>
    </row>
    <row r="124" spans="1:1" x14ac:dyDescent="0.2">
      <c r="A124" s="172"/>
    </row>
    <row r="125" spans="1:1" x14ac:dyDescent="0.2">
      <c r="A125" s="172"/>
    </row>
    <row r="126" spans="1:1" x14ac:dyDescent="0.2">
      <c r="A126" s="172"/>
    </row>
    <row r="127" spans="1:1" x14ac:dyDescent="0.2">
      <c r="A127" s="172"/>
    </row>
    <row r="128" spans="1:1" x14ac:dyDescent="0.2">
      <c r="A128" s="172"/>
    </row>
    <row r="129" spans="1:1" x14ac:dyDescent="0.2">
      <c r="A129" s="172"/>
    </row>
    <row r="130" spans="1:1" x14ac:dyDescent="0.2">
      <c r="A130" s="172"/>
    </row>
    <row r="131" spans="1:1" x14ac:dyDescent="0.2">
      <c r="A131" s="172"/>
    </row>
    <row r="132" spans="1:1" x14ac:dyDescent="0.2">
      <c r="A132" s="172"/>
    </row>
    <row r="133" spans="1:1" x14ac:dyDescent="0.2">
      <c r="A133" s="172"/>
    </row>
    <row r="134" spans="1:1" x14ac:dyDescent="0.2">
      <c r="A134" s="172"/>
    </row>
    <row r="135" spans="1:1" x14ac:dyDescent="0.2">
      <c r="A135" s="172"/>
    </row>
    <row r="136" spans="1:1" x14ac:dyDescent="0.2">
      <c r="A136" s="172"/>
    </row>
    <row r="137" spans="1:1" x14ac:dyDescent="0.2">
      <c r="A137" s="172"/>
    </row>
    <row r="138" spans="1:1" x14ac:dyDescent="0.2">
      <c r="A138" s="172"/>
    </row>
    <row r="139" spans="1:1" x14ac:dyDescent="0.2">
      <c r="A139" s="172"/>
    </row>
    <row r="140" spans="1:1" x14ac:dyDescent="0.2">
      <c r="A140" s="172"/>
    </row>
    <row r="141" spans="1:1" x14ac:dyDescent="0.2">
      <c r="A141" s="172"/>
    </row>
    <row r="142" spans="1:1" x14ac:dyDescent="0.2">
      <c r="A142" s="172"/>
    </row>
    <row r="143" spans="1:1" x14ac:dyDescent="0.2">
      <c r="A143" s="172"/>
    </row>
    <row r="144" spans="1:1" x14ac:dyDescent="0.2">
      <c r="A144" s="172"/>
    </row>
    <row r="145" spans="1:1" x14ac:dyDescent="0.2">
      <c r="A145" s="172"/>
    </row>
    <row r="146" spans="1:1" x14ac:dyDescent="0.2">
      <c r="A146" s="172"/>
    </row>
    <row r="147" spans="1:1" x14ac:dyDescent="0.2">
      <c r="A147" s="172"/>
    </row>
    <row r="148" spans="1:1" x14ac:dyDescent="0.2">
      <c r="A148" s="172"/>
    </row>
    <row r="149" spans="1:1" x14ac:dyDescent="0.2">
      <c r="A149" s="172"/>
    </row>
    <row r="150" spans="1:1" x14ac:dyDescent="0.2">
      <c r="A150" s="172"/>
    </row>
    <row r="151" spans="1:1" x14ac:dyDescent="0.2">
      <c r="A151" s="172"/>
    </row>
    <row r="152" spans="1:1" x14ac:dyDescent="0.2">
      <c r="A152" s="172"/>
    </row>
    <row r="153" spans="1:1" x14ac:dyDescent="0.2">
      <c r="A153" s="172"/>
    </row>
    <row r="154" spans="1:1" x14ac:dyDescent="0.2">
      <c r="A154" s="172"/>
    </row>
    <row r="155" spans="1:1" x14ac:dyDescent="0.2">
      <c r="A155" s="172"/>
    </row>
    <row r="156" spans="1:1" x14ac:dyDescent="0.2">
      <c r="A156" s="172"/>
    </row>
    <row r="157" spans="1:1" x14ac:dyDescent="0.2">
      <c r="A157" s="172"/>
    </row>
    <row r="158" spans="1:1" x14ac:dyDescent="0.2">
      <c r="A158" s="172"/>
    </row>
    <row r="159" spans="1:1" x14ac:dyDescent="0.2">
      <c r="A159" s="172"/>
    </row>
    <row r="160" spans="1:1" x14ac:dyDescent="0.2">
      <c r="A160" s="172"/>
    </row>
    <row r="161" spans="1:1" x14ac:dyDescent="0.2">
      <c r="A161" s="172"/>
    </row>
    <row r="162" spans="1:1" x14ac:dyDescent="0.2">
      <c r="A162" s="172"/>
    </row>
    <row r="163" spans="1:1" x14ac:dyDescent="0.2">
      <c r="A163" s="172"/>
    </row>
    <row r="164" spans="1:1" x14ac:dyDescent="0.2">
      <c r="A164" s="172"/>
    </row>
    <row r="165" spans="1:1" x14ac:dyDescent="0.2">
      <c r="A165" s="172"/>
    </row>
    <row r="166" spans="1:1" x14ac:dyDescent="0.2">
      <c r="A166" s="172"/>
    </row>
    <row r="167" spans="1:1" x14ac:dyDescent="0.2">
      <c r="A167" s="172"/>
    </row>
    <row r="168" spans="1:1" x14ac:dyDescent="0.2">
      <c r="A168" s="172"/>
    </row>
    <row r="169" spans="1:1" x14ac:dyDescent="0.2">
      <c r="A169" s="172"/>
    </row>
    <row r="170" spans="1:1" x14ac:dyDescent="0.2">
      <c r="A170" s="172"/>
    </row>
    <row r="171" spans="1:1" x14ac:dyDescent="0.2">
      <c r="A171" s="172"/>
    </row>
    <row r="172" spans="1:1" x14ac:dyDescent="0.2">
      <c r="A172" s="172"/>
    </row>
    <row r="173" spans="1:1" x14ac:dyDescent="0.2">
      <c r="A173" s="172"/>
    </row>
    <row r="174" spans="1:1" x14ac:dyDescent="0.2">
      <c r="A174" s="172"/>
    </row>
    <row r="175" spans="1:1" x14ac:dyDescent="0.2">
      <c r="A175" s="172"/>
    </row>
    <row r="176" spans="1:1" x14ac:dyDescent="0.2">
      <c r="A176" s="172"/>
    </row>
    <row r="177" spans="1:1" x14ac:dyDescent="0.2">
      <c r="A177" s="172"/>
    </row>
    <row r="178" spans="1:1" x14ac:dyDescent="0.2">
      <c r="A178" s="172"/>
    </row>
    <row r="179" spans="1:1" x14ac:dyDescent="0.2">
      <c r="A179" s="172"/>
    </row>
    <row r="180" spans="1:1" x14ac:dyDescent="0.2">
      <c r="A180" s="172"/>
    </row>
    <row r="181" spans="1:1" x14ac:dyDescent="0.2">
      <c r="A181" s="172"/>
    </row>
    <row r="182" spans="1:1" x14ac:dyDescent="0.2">
      <c r="A182" s="172"/>
    </row>
    <row r="183" spans="1:1" x14ac:dyDescent="0.2">
      <c r="A183" s="172"/>
    </row>
    <row r="184" spans="1:1" x14ac:dyDescent="0.2">
      <c r="A184" s="172"/>
    </row>
    <row r="185" spans="1:1" x14ac:dyDescent="0.2">
      <c r="A185" s="172"/>
    </row>
    <row r="186" spans="1:1" x14ac:dyDescent="0.2">
      <c r="A186" s="172"/>
    </row>
    <row r="187" spans="1:1" x14ac:dyDescent="0.2">
      <c r="A187" s="172"/>
    </row>
    <row r="188" spans="1:1" x14ac:dyDescent="0.2">
      <c r="A188" s="172"/>
    </row>
    <row r="189" spans="1:1" x14ac:dyDescent="0.2">
      <c r="A189" s="172"/>
    </row>
    <row r="190" spans="1:1" x14ac:dyDescent="0.2">
      <c r="A190" s="172"/>
    </row>
    <row r="191" spans="1:1" x14ac:dyDescent="0.2">
      <c r="A191" s="172"/>
    </row>
    <row r="192" spans="1:1" x14ac:dyDescent="0.2">
      <c r="A192" s="172"/>
    </row>
    <row r="193" spans="1:1" x14ac:dyDescent="0.2">
      <c r="A193" s="172"/>
    </row>
    <row r="194" spans="1:1" x14ac:dyDescent="0.2">
      <c r="A194" s="172"/>
    </row>
    <row r="195" spans="1:1" x14ac:dyDescent="0.2">
      <c r="A195" s="172"/>
    </row>
    <row r="196" spans="1:1" x14ac:dyDescent="0.2">
      <c r="A196" s="172"/>
    </row>
    <row r="197" spans="1:1" x14ac:dyDescent="0.2">
      <c r="A197" s="172"/>
    </row>
    <row r="198" spans="1:1" x14ac:dyDescent="0.2">
      <c r="A198" s="172"/>
    </row>
    <row r="199" spans="1:1" x14ac:dyDescent="0.2">
      <c r="A199" s="172"/>
    </row>
    <row r="200" spans="1:1" x14ac:dyDescent="0.2">
      <c r="A200" s="172"/>
    </row>
    <row r="201" spans="1:1" x14ac:dyDescent="0.2">
      <c r="A201" s="172"/>
    </row>
    <row r="202" spans="1:1" x14ac:dyDescent="0.2">
      <c r="A202" s="172"/>
    </row>
    <row r="203" spans="1:1" x14ac:dyDescent="0.2">
      <c r="A203" s="172"/>
    </row>
    <row r="204" spans="1:1" x14ac:dyDescent="0.2">
      <c r="A204" s="172"/>
    </row>
    <row r="205" spans="1:1" x14ac:dyDescent="0.2">
      <c r="A205" s="172"/>
    </row>
    <row r="206" spans="1:1" x14ac:dyDescent="0.2">
      <c r="A206" s="172"/>
    </row>
    <row r="207" spans="1:1" x14ac:dyDescent="0.2">
      <c r="A207" s="172"/>
    </row>
    <row r="208" spans="1:1" x14ac:dyDescent="0.2">
      <c r="A208" s="172"/>
    </row>
    <row r="209" spans="1:1" x14ac:dyDescent="0.2">
      <c r="A209" s="172"/>
    </row>
    <row r="210" spans="1:1" x14ac:dyDescent="0.2">
      <c r="A210" s="172"/>
    </row>
    <row r="211" spans="1:1" x14ac:dyDescent="0.2">
      <c r="A211" s="172"/>
    </row>
    <row r="212" spans="1:1" x14ac:dyDescent="0.2">
      <c r="A212" s="172"/>
    </row>
    <row r="213" spans="1:1" x14ac:dyDescent="0.2">
      <c r="A213" s="172"/>
    </row>
    <row r="214" spans="1:1" x14ac:dyDescent="0.2">
      <c r="A214" s="172"/>
    </row>
    <row r="215" spans="1:1" x14ac:dyDescent="0.2">
      <c r="A215" s="172"/>
    </row>
    <row r="216" spans="1:1" x14ac:dyDescent="0.2">
      <c r="A216" s="172"/>
    </row>
    <row r="217" spans="1:1" x14ac:dyDescent="0.2">
      <c r="A217" s="172"/>
    </row>
    <row r="218" spans="1:1" x14ac:dyDescent="0.2">
      <c r="A218" s="172"/>
    </row>
    <row r="219" spans="1:1" x14ac:dyDescent="0.2">
      <c r="A219" s="172"/>
    </row>
    <row r="220" spans="1:1" x14ac:dyDescent="0.2">
      <c r="A220" s="172"/>
    </row>
    <row r="221" spans="1:1" x14ac:dyDescent="0.2">
      <c r="A221" s="172"/>
    </row>
    <row r="222" spans="1:1" x14ac:dyDescent="0.2">
      <c r="A222" s="172"/>
    </row>
    <row r="223" spans="1:1" x14ac:dyDescent="0.2">
      <c r="A223" s="172"/>
    </row>
    <row r="224" spans="1:1" x14ac:dyDescent="0.2">
      <c r="A224" s="172"/>
    </row>
    <row r="225" spans="1:1" x14ac:dyDescent="0.2">
      <c r="A225" s="172"/>
    </row>
    <row r="226" spans="1:1" x14ac:dyDescent="0.2">
      <c r="A226" s="172"/>
    </row>
    <row r="227" spans="1:1" x14ac:dyDescent="0.2">
      <c r="A227" s="172"/>
    </row>
    <row r="228" spans="1:1" x14ac:dyDescent="0.2">
      <c r="A228" s="172"/>
    </row>
    <row r="229" spans="1:1" x14ac:dyDescent="0.2">
      <c r="A229" s="172"/>
    </row>
    <row r="230" spans="1:1" x14ac:dyDescent="0.2">
      <c r="A230" s="172"/>
    </row>
    <row r="231" spans="1:1" x14ac:dyDescent="0.2">
      <c r="A231" s="172"/>
    </row>
    <row r="232" spans="1:1" x14ac:dyDescent="0.2">
      <c r="A232" s="172"/>
    </row>
    <row r="233" spans="1:1" x14ac:dyDescent="0.2">
      <c r="A233" s="172"/>
    </row>
    <row r="234" spans="1:1" x14ac:dyDescent="0.2">
      <c r="A234" s="172"/>
    </row>
    <row r="235" spans="1:1" x14ac:dyDescent="0.2">
      <c r="A235" s="172"/>
    </row>
    <row r="236" spans="1:1" x14ac:dyDescent="0.2">
      <c r="A236" s="172"/>
    </row>
    <row r="237" spans="1:1" x14ac:dyDescent="0.2">
      <c r="A237" s="172"/>
    </row>
    <row r="238" spans="1:1" x14ac:dyDescent="0.2">
      <c r="A238" s="172"/>
    </row>
    <row r="239" spans="1:1" x14ac:dyDescent="0.2">
      <c r="A239" s="172"/>
    </row>
    <row r="240" spans="1:1" x14ac:dyDescent="0.2">
      <c r="A240" s="172"/>
    </row>
    <row r="241" spans="1:1" x14ac:dyDescent="0.2">
      <c r="A241" s="172"/>
    </row>
    <row r="242" spans="1:1" x14ac:dyDescent="0.2">
      <c r="A242" s="172"/>
    </row>
    <row r="243" spans="1:1" x14ac:dyDescent="0.2">
      <c r="A243" s="172"/>
    </row>
    <row r="244" spans="1:1" x14ac:dyDescent="0.2">
      <c r="A244" s="172"/>
    </row>
    <row r="245" spans="1:1" x14ac:dyDescent="0.2">
      <c r="A245" s="172"/>
    </row>
    <row r="246" spans="1:1" x14ac:dyDescent="0.2">
      <c r="A246" s="172"/>
    </row>
    <row r="247" spans="1:1" x14ac:dyDescent="0.2">
      <c r="A247" s="172"/>
    </row>
    <row r="248" spans="1:1" x14ac:dyDescent="0.2">
      <c r="A248" s="172"/>
    </row>
    <row r="249" spans="1:1" x14ac:dyDescent="0.2">
      <c r="A249" s="172"/>
    </row>
    <row r="250" spans="1:1" x14ac:dyDescent="0.2">
      <c r="A250" s="172"/>
    </row>
    <row r="251" spans="1:1" x14ac:dyDescent="0.2">
      <c r="A251" s="172"/>
    </row>
    <row r="252" spans="1:1" x14ac:dyDescent="0.2">
      <c r="A252" s="172"/>
    </row>
    <row r="253" spans="1:1" x14ac:dyDescent="0.2">
      <c r="A253" s="172"/>
    </row>
    <row r="254" spans="1:1" x14ac:dyDescent="0.2">
      <c r="A254" s="172"/>
    </row>
    <row r="255" spans="1:1" x14ac:dyDescent="0.2">
      <c r="A255" s="172"/>
    </row>
    <row r="256" spans="1:1" x14ac:dyDescent="0.2">
      <c r="A256" s="172"/>
    </row>
    <row r="257" spans="1:1" x14ac:dyDescent="0.2">
      <c r="A257" s="172"/>
    </row>
    <row r="258" spans="1:1" x14ac:dyDescent="0.2">
      <c r="A258" s="172"/>
    </row>
    <row r="259" spans="1:1" x14ac:dyDescent="0.2">
      <c r="A259" s="172"/>
    </row>
    <row r="260" spans="1:1" x14ac:dyDescent="0.2">
      <c r="A260" s="172"/>
    </row>
    <row r="261" spans="1:1" x14ac:dyDescent="0.2">
      <c r="A261" s="172"/>
    </row>
    <row r="262" spans="1:1" x14ac:dyDescent="0.2">
      <c r="A262" s="172"/>
    </row>
    <row r="263" spans="1:1" x14ac:dyDescent="0.2">
      <c r="A263" s="172"/>
    </row>
    <row r="264" spans="1:1" x14ac:dyDescent="0.2">
      <c r="A264" s="172"/>
    </row>
    <row r="265" spans="1:1" x14ac:dyDescent="0.2">
      <c r="A265" s="172"/>
    </row>
    <row r="266" spans="1:1" x14ac:dyDescent="0.2">
      <c r="A266" s="172"/>
    </row>
    <row r="267" spans="1:1" x14ac:dyDescent="0.2">
      <c r="A267" s="172"/>
    </row>
    <row r="268" spans="1:1" x14ac:dyDescent="0.2">
      <c r="A268" s="172"/>
    </row>
    <row r="269" spans="1:1" x14ac:dyDescent="0.2">
      <c r="A269" s="172"/>
    </row>
    <row r="270" spans="1:1" x14ac:dyDescent="0.2">
      <c r="A270" s="172"/>
    </row>
    <row r="271" spans="1:1" x14ac:dyDescent="0.2">
      <c r="A271" s="172"/>
    </row>
    <row r="272" spans="1:1" x14ac:dyDescent="0.2">
      <c r="A272" s="172"/>
    </row>
    <row r="273" spans="1:1" x14ac:dyDescent="0.2">
      <c r="A273" s="172"/>
    </row>
    <row r="274" spans="1:1" x14ac:dyDescent="0.2">
      <c r="A274" s="172"/>
    </row>
    <row r="275" spans="1:1" x14ac:dyDescent="0.2">
      <c r="A275" s="172"/>
    </row>
    <row r="276" spans="1:1" x14ac:dyDescent="0.2">
      <c r="A276" s="172"/>
    </row>
    <row r="277" spans="1:1" x14ac:dyDescent="0.2">
      <c r="A277" s="172"/>
    </row>
    <row r="278" spans="1:1" x14ac:dyDescent="0.2">
      <c r="A278" s="172"/>
    </row>
    <row r="279" spans="1:1" x14ac:dyDescent="0.2">
      <c r="A279" s="172"/>
    </row>
    <row r="280" spans="1:1" x14ac:dyDescent="0.2">
      <c r="A280" s="172"/>
    </row>
    <row r="281" spans="1:1" x14ac:dyDescent="0.2">
      <c r="A281" s="172"/>
    </row>
    <row r="282" spans="1:1" x14ac:dyDescent="0.2">
      <c r="A282" s="172"/>
    </row>
    <row r="283" spans="1:1" x14ac:dyDescent="0.2">
      <c r="A283" s="172"/>
    </row>
    <row r="284" spans="1:1" x14ac:dyDescent="0.2">
      <c r="A284" s="172"/>
    </row>
    <row r="285" spans="1:1" x14ac:dyDescent="0.2">
      <c r="A285" s="172"/>
    </row>
    <row r="286" spans="1:1" x14ac:dyDescent="0.2">
      <c r="A286" s="172"/>
    </row>
    <row r="287" spans="1:1" x14ac:dyDescent="0.2">
      <c r="A287" s="172"/>
    </row>
    <row r="288" spans="1:1" x14ac:dyDescent="0.2">
      <c r="A288" s="172"/>
    </row>
    <row r="289" spans="1:1" x14ac:dyDescent="0.2">
      <c r="A289" s="172"/>
    </row>
    <row r="290" spans="1:1" x14ac:dyDescent="0.2">
      <c r="A290" s="172"/>
    </row>
    <row r="291" spans="1:1" x14ac:dyDescent="0.2">
      <c r="A291" s="172"/>
    </row>
    <row r="292" spans="1:1" x14ac:dyDescent="0.2">
      <c r="A292" s="172"/>
    </row>
    <row r="293" spans="1:1" x14ac:dyDescent="0.2">
      <c r="A293" s="172"/>
    </row>
    <row r="294" spans="1:1" x14ac:dyDescent="0.2">
      <c r="A294" s="172"/>
    </row>
    <row r="295" spans="1:1" x14ac:dyDescent="0.2">
      <c r="A295" s="172"/>
    </row>
    <row r="296" spans="1:1" x14ac:dyDescent="0.2">
      <c r="A296" s="172"/>
    </row>
    <row r="297" spans="1:1" x14ac:dyDescent="0.2">
      <c r="A297" s="172"/>
    </row>
    <row r="298" spans="1:1" x14ac:dyDescent="0.2">
      <c r="A298" s="172"/>
    </row>
    <row r="299" spans="1:1" x14ac:dyDescent="0.2">
      <c r="A299" s="172"/>
    </row>
    <row r="300" spans="1:1" x14ac:dyDescent="0.2">
      <c r="A300" s="172"/>
    </row>
    <row r="301" spans="1:1" x14ac:dyDescent="0.2">
      <c r="A301" s="172"/>
    </row>
    <row r="302" spans="1:1" x14ac:dyDescent="0.2">
      <c r="A302" s="172"/>
    </row>
    <row r="303" spans="1:1" x14ac:dyDescent="0.2">
      <c r="A303" s="172"/>
    </row>
    <row r="304" spans="1:1" x14ac:dyDescent="0.2">
      <c r="A304" s="172"/>
    </row>
    <row r="305" spans="1:1" x14ac:dyDescent="0.2">
      <c r="A305" s="172"/>
    </row>
    <row r="306" spans="1:1" x14ac:dyDescent="0.2">
      <c r="A306" s="172"/>
    </row>
    <row r="307" spans="1:1" x14ac:dyDescent="0.2">
      <c r="A307" s="172"/>
    </row>
    <row r="308" spans="1:1" x14ac:dyDescent="0.2">
      <c r="A308" s="172"/>
    </row>
    <row r="309" spans="1:1" x14ac:dyDescent="0.2">
      <c r="A309" s="172"/>
    </row>
    <row r="310" spans="1:1" x14ac:dyDescent="0.2">
      <c r="A310" s="172"/>
    </row>
    <row r="311" spans="1:1" x14ac:dyDescent="0.2">
      <c r="A311" s="172"/>
    </row>
    <row r="312" spans="1:1" x14ac:dyDescent="0.2">
      <c r="A312" s="172"/>
    </row>
    <row r="313" spans="1:1" x14ac:dyDescent="0.2">
      <c r="A313" s="172"/>
    </row>
    <row r="314" spans="1:1" x14ac:dyDescent="0.2">
      <c r="A314" s="172"/>
    </row>
    <row r="315" spans="1:1" x14ac:dyDescent="0.2">
      <c r="A315" s="172"/>
    </row>
    <row r="316" spans="1:1" x14ac:dyDescent="0.2">
      <c r="A316" s="172"/>
    </row>
    <row r="317" spans="1:1" x14ac:dyDescent="0.2">
      <c r="A317" s="172"/>
    </row>
    <row r="318" spans="1:1" x14ac:dyDescent="0.2">
      <c r="A318" s="172"/>
    </row>
    <row r="319" spans="1:1" x14ac:dyDescent="0.2">
      <c r="A319" s="172"/>
    </row>
    <row r="320" spans="1:1" x14ac:dyDescent="0.2">
      <c r="A320" s="172"/>
    </row>
    <row r="321" spans="1:1" x14ac:dyDescent="0.2">
      <c r="A321" s="172"/>
    </row>
    <row r="322" spans="1:1" x14ac:dyDescent="0.2">
      <c r="A322" s="172"/>
    </row>
    <row r="323" spans="1:1" x14ac:dyDescent="0.2">
      <c r="A323" s="172"/>
    </row>
    <row r="324" spans="1:1" x14ac:dyDescent="0.2">
      <c r="A324" s="172"/>
    </row>
    <row r="325" spans="1:1" x14ac:dyDescent="0.2">
      <c r="A325" s="172"/>
    </row>
    <row r="326" spans="1:1" x14ac:dyDescent="0.2">
      <c r="A326" s="172"/>
    </row>
    <row r="327" spans="1:1" x14ac:dyDescent="0.2">
      <c r="A327" s="172"/>
    </row>
    <row r="328" spans="1:1" x14ac:dyDescent="0.2">
      <c r="A328" s="172"/>
    </row>
    <row r="329" spans="1:1" x14ac:dyDescent="0.2">
      <c r="A329" s="172"/>
    </row>
    <row r="330" spans="1:1" x14ac:dyDescent="0.2">
      <c r="A330" s="172"/>
    </row>
    <row r="331" spans="1:1" x14ac:dyDescent="0.2">
      <c r="A331" s="172"/>
    </row>
    <row r="332" spans="1:1" x14ac:dyDescent="0.2">
      <c r="A332" s="172"/>
    </row>
    <row r="333" spans="1:1" x14ac:dyDescent="0.2">
      <c r="A333" s="172"/>
    </row>
    <row r="334" spans="1:1" x14ac:dyDescent="0.2">
      <c r="A334" s="172"/>
    </row>
    <row r="335" spans="1:1" x14ac:dyDescent="0.2">
      <c r="A335" s="172"/>
    </row>
    <row r="336" spans="1:1" x14ac:dyDescent="0.2">
      <c r="A336" s="172"/>
    </row>
    <row r="337" spans="1:1" x14ac:dyDescent="0.2">
      <c r="A337" s="172"/>
    </row>
    <row r="338" spans="1:1" x14ac:dyDescent="0.2">
      <c r="A338" s="172"/>
    </row>
    <row r="339" spans="1:1" x14ac:dyDescent="0.2">
      <c r="A339" s="172"/>
    </row>
    <row r="340" spans="1:1" x14ac:dyDescent="0.2">
      <c r="A340" s="172"/>
    </row>
    <row r="341" spans="1:1" x14ac:dyDescent="0.2">
      <c r="A341" s="172"/>
    </row>
    <row r="342" spans="1:1" x14ac:dyDescent="0.2">
      <c r="A342" s="172"/>
    </row>
    <row r="343" spans="1:1" x14ac:dyDescent="0.2">
      <c r="A343" s="172"/>
    </row>
    <row r="344" spans="1:1" x14ac:dyDescent="0.2">
      <c r="A344" s="172"/>
    </row>
    <row r="345" spans="1:1" x14ac:dyDescent="0.2">
      <c r="A345" s="172"/>
    </row>
    <row r="346" spans="1:1" x14ac:dyDescent="0.2">
      <c r="A346" s="172"/>
    </row>
    <row r="347" spans="1:1" x14ac:dyDescent="0.2">
      <c r="A347" s="172"/>
    </row>
    <row r="348" spans="1:1" x14ac:dyDescent="0.2">
      <c r="A348" s="172"/>
    </row>
    <row r="349" spans="1:1" x14ac:dyDescent="0.2">
      <c r="A349" s="172"/>
    </row>
    <row r="350" spans="1:1" x14ac:dyDescent="0.2">
      <c r="A350" s="172"/>
    </row>
    <row r="351" spans="1:1" x14ac:dyDescent="0.2">
      <c r="A351" s="172"/>
    </row>
    <row r="352" spans="1:1" x14ac:dyDescent="0.2">
      <c r="A352" s="172"/>
    </row>
    <row r="353" spans="1:1" x14ac:dyDescent="0.2">
      <c r="A353" s="172"/>
    </row>
    <row r="354" spans="1:1" x14ac:dyDescent="0.2">
      <c r="A354" s="172"/>
    </row>
    <row r="355" spans="1:1" x14ac:dyDescent="0.2">
      <c r="A355" s="172"/>
    </row>
    <row r="356" spans="1:1" x14ac:dyDescent="0.2">
      <c r="A356" s="172"/>
    </row>
    <row r="357" spans="1:1" x14ac:dyDescent="0.2">
      <c r="A357" s="172"/>
    </row>
    <row r="358" spans="1:1" x14ac:dyDescent="0.2">
      <c r="A358" s="172"/>
    </row>
    <row r="359" spans="1:1" x14ac:dyDescent="0.2">
      <c r="A359" s="172"/>
    </row>
    <row r="360" spans="1:1" x14ac:dyDescent="0.2">
      <c r="A360" s="172"/>
    </row>
    <row r="361" spans="1:1" x14ac:dyDescent="0.2">
      <c r="A361" s="172"/>
    </row>
    <row r="362" spans="1:1" x14ac:dyDescent="0.2">
      <c r="A362" s="172"/>
    </row>
    <row r="363" spans="1:1" x14ac:dyDescent="0.2">
      <c r="A363" s="172"/>
    </row>
    <row r="364" spans="1:1" x14ac:dyDescent="0.2">
      <c r="A364" s="172"/>
    </row>
    <row r="365" spans="1:1" x14ac:dyDescent="0.2">
      <c r="A365" s="172"/>
    </row>
    <row r="366" spans="1:1" x14ac:dyDescent="0.2">
      <c r="A366" s="172"/>
    </row>
    <row r="367" spans="1:1" x14ac:dyDescent="0.2">
      <c r="A367" s="172"/>
    </row>
    <row r="368" spans="1:1" x14ac:dyDescent="0.2">
      <c r="A368" s="172"/>
    </row>
    <row r="369" spans="1:1" x14ac:dyDescent="0.2">
      <c r="A369" s="172"/>
    </row>
    <row r="370" spans="1:1" x14ac:dyDescent="0.2">
      <c r="A370" s="172"/>
    </row>
    <row r="371" spans="1:1" x14ac:dyDescent="0.2">
      <c r="A371" s="172"/>
    </row>
    <row r="372" spans="1:1" x14ac:dyDescent="0.2">
      <c r="A372" s="172"/>
    </row>
    <row r="373" spans="1:1" x14ac:dyDescent="0.2">
      <c r="A373" s="172"/>
    </row>
    <row r="374" spans="1:1" x14ac:dyDescent="0.2">
      <c r="A374" s="172"/>
    </row>
    <row r="375" spans="1:1" x14ac:dyDescent="0.2">
      <c r="A375" s="172"/>
    </row>
    <row r="376" spans="1:1" x14ac:dyDescent="0.2">
      <c r="A376" s="172"/>
    </row>
    <row r="377" spans="1:1" x14ac:dyDescent="0.2">
      <c r="A377" s="172"/>
    </row>
    <row r="378" spans="1:1" x14ac:dyDescent="0.2">
      <c r="A378" s="172"/>
    </row>
    <row r="379" spans="1:1" x14ac:dyDescent="0.2">
      <c r="A379" s="172"/>
    </row>
    <row r="380" spans="1:1" x14ac:dyDescent="0.2">
      <c r="A380" s="172"/>
    </row>
    <row r="381" spans="1:1" x14ac:dyDescent="0.2">
      <c r="A381" s="172"/>
    </row>
    <row r="382" spans="1:1" x14ac:dyDescent="0.2">
      <c r="A382" s="172"/>
    </row>
    <row r="383" spans="1:1" x14ac:dyDescent="0.2">
      <c r="A383" s="172"/>
    </row>
    <row r="384" spans="1:1" x14ac:dyDescent="0.2">
      <c r="A384" s="172"/>
    </row>
    <row r="385" spans="1:1" x14ac:dyDescent="0.2">
      <c r="A385" s="172"/>
    </row>
    <row r="386" spans="1:1" x14ac:dyDescent="0.2">
      <c r="A386" s="172"/>
    </row>
    <row r="387" spans="1:1" x14ac:dyDescent="0.2">
      <c r="A387" s="172"/>
    </row>
    <row r="388" spans="1:1" x14ac:dyDescent="0.2">
      <c r="A388" s="172"/>
    </row>
    <row r="389" spans="1:1" x14ac:dyDescent="0.2">
      <c r="A389" s="172"/>
    </row>
    <row r="390" spans="1:1" x14ac:dyDescent="0.2">
      <c r="A390" s="172"/>
    </row>
    <row r="391" spans="1:1" x14ac:dyDescent="0.2">
      <c r="A391" s="172"/>
    </row>
    <row r="392" spans="1:1" x14ac:dyDescent="0.2">
      <c r="A392" s="172"/>
    </row>
    <row r="393" spans="1:1" x14ac:dyDescent="0.2">
      <c r="A393" s="172"/>
    </row>
    <row r="394" spans="1:1" x14ac:dyDescent="0.2">
      <c r="A394" s="172"/>
    </row>
    <row r="395" spans="1:1" x14ac:dyDescent="0.2">
      <c r="A395" s="172"/>
    </row>
    <row r="396" spans="1:1" x14ac:dyDescent="0.2">
      <c r="A396" s="172"/>
    </row>
    <row r="397" spans="1:1" x14ac:dyDescent="0.2">
      <c r="A397" s="172"/>
    </row>
    <row r="398" spans="1:1" x14ac:dyDescent="0.2">
      <c r="A398" s="172"/>
    </row>
    <row r="399" spans="1:1" x14ac:dyDescent="0.2">
      <c r="A399" s="172"/>
    </row>
    <row r="400" spans="1:1" x14ac:dyDescent="0.2">
      <c r="A400" s="172"/>
    </row>
    <row r="401" spans="1:1" x14ac:dyDescent="0.2">
      <c r="A401" s="172"/>
    </row>
    <row r="402" spans="1:1" x14ac:dyDescent="0.2">
      <c r="A402" s="172"/>
    </row>
    <row r="403" spans="1:1" x14ac:dyDescent="0.2">
      <c r="A403" s="172"/>
    </row>
    <row r="404" spans="1:1" x14ac:dyDescent="0.2">
      <c r="A404" s="172"/>
    </row>
    <row r="405" spans="1:1" x14ac:dyDescent="0.2">
      <c r="A405" s="172"/>
    </row>
    <row r="406" spans="1:1" x14ac:dyDescent="0.2">
      <c r="A406" s="172"/>
    </row>
    <row r="407" spans="1:1" x14ac:dyDescent="0.2">
      <c r="A407" s="172"/>
    </row>
    <row r="408" spans="1:1" x14ac:dyDescent="0.2">
      <c r="A408" s="172"/>
    </row>
    <row r="409" spans="1:1" x14ac:dyDescent="0.2">
      <c r="A409" s="172"/>
    </row>
    <row r="410" spans="1:1" x14ac:dyDescent="0.2">
      <c r="A410" s="172"/>
    </row>
    <row r="411" spans="1:1" x14ac:dyDescent="0.2">
      <c r="A411" s="172"/>
    </row>
    <row r="412" spans="1:1" x14ac:dyDescent="0.2">
      <c r="A412" s="172"/>
    </row>
    <row r="413" spans="1:1" x14ac:dyDescent="0.2">
      <c r="A413" s="172"/>
    </row>
    <row r="414" spans="1:1" x14ac:dyDescent="0.2">
      <c r="A414" s="172"/>
    </row>
    <row r="415" spans="1:1" x14ac:dyDescent="0.2">
      <c r="A415" s="172"/>
    </row>
    <row r="416" spans="1:1" x14ac:dyDescent="0.2">
      <c r="A416" s="172"/>
    </row>
    <row r="417" spans="1:1" x14ac:dyDescent="0.2">
      <c r="A417" s="172"/>
    </row>
    <row r="418" spans="1:1" x14ac:dyDescent="0.2">
      <c r="A418" s="172"/>
    </row>
    <row r="419" spans="1:1" x14ac:dyDescent="0.2">
      <c r="A419" s="172"/>
    </row>
    <row r="420" spans="1:1" x14ac:dyDescent="0.2">
      <c r="A420" s="172"/>
    </row>
    <row r="421" spans="1:1" x14ac:dyDescent="0.2">
      <c r="A421" s="172"/>
    </row>
    <row r="422" spans="1:1" x14ac:dyDescent="0.2">
      <c r="A422" s="172"/>
    </row>
    <row r="423" spans="1:1" x14ac:dyDescent="0.2">
      <c r="A423" s="172"/>
    </row>
    <row r="424" spans="1:1" x14ac:dyDescent="0.2">
      <c r="A424" s="172"/>
    </row>
    <row r="425" spans="1:1" x14ac:dyDescent="0.2">
      <c r="A425" s="172"/>
    </row>
    <row r="426" spans="1:1" x14ac:dyDescent="0.2">
      <c r="A426" s="172"/>
    </row>
    <row r="427" spans="1:1" x14ac:dyDescent="0.2">
      <c r="A427" s="172"/>
    </row>
    <row r="428" spans="1:1" x14ac:dyDescent="0.2">
      <c r="A428" s="172"/>
    </row>
    <row r="429" spans="1:1" x14ac:dyDescent="0.2">
      <c r="A429" s="172"/>
    </row>
    <row r="430" spans="1:1" x14ac:dyDescent="0.2">
      <c r="A430" s="172"/>
    </row>
    <row r="431" spans="1:1" x14ac:dyDescent="0.2">
      <c r="A431" s="172"/>
    </row>
    <row r="432" spans="1:1" x14ac:dyDescent="0.2">
      <c r="A432" s="172"/>
    </row>
    <row r="433" spans="1:1" x14ac:dyDescent="0.2">
      <c r="A433" s="172"/>
    </row>
    <row r="434" spans="1:1" x14ac:dyDescent="0.2">
      <c r="A434" s="172"/>
    </row>
    <row r="435" spans="1:1" x14ac:dyDescent="0.2">
      <c r="A435" s="172"/>
    </row>
    <row r="436" spans="1:1" x14ac:dyDescent="0.2">
      <c r="A436" s="172"/>
    </row>
    <row r="437" spans="1:1" x14ac:dyDescent="0.2">
      <c r="A437" s="172"/>
    </row>
    <row r="438" spans="1:1" x14ac:dyDescent="0.2">
      <c r="A438" s="172"/>
    </row>
    <row r="439" spans="1:1" x14ac:dyDescent="0.2">
      <c r="A439" s="172"/>
    </row>
    <row r="440" spans="1:1" x14ac:dyDescent="0.2">
      <c r="A440" s="172"/>
    </row>
    <row r="441" spans="1:1" x14ac:dyDescent="0.2">
      <c r="A441" s="172"/>
    </row>
    <row r="442" spans="1:1" x14ac:dyDescent="0.2">
      <c r="A442" s="172"/>
    </row>
    <row r="443" spans="1:1" x14ac:dyDescent="0.2">
      <c r="A443" s="172"/>
    </row>
    <row r="444" spans="1:1" x14ac:dyDescent="0.2">
      <c r="A444" s="172"/>
    </row>
    <row r="445" spans="1:1" x14ac:dyDescent="0.2">
      <c r="A445" s="172"/>
    </row>
    <row r="446" spans="1:1" x14ac:dyDescent="0.2">
      <c r="A446" s="172"/>
    </row>
    <row r="447" spans="1:1" x14ac:dyDescent="0.2">
      <c r="A447" s="172"/>
    </row>
    <row r="448" spans="1:1" x14ac:dyDescent="0.2">
      <c r="A448" s="172"/>
    </row>
    <row r="449" spans="1:1" x14ac:dyDescent="0.2">
      <c r="A449" s="172"/>
    </row>
    <row r="450" spans="1:1" x14ac:dyDescent="0.2">
      <c r="A450" s="172"/>
    </row>
    <row r="451" spans="1:1" x14ac:dyDescent="0.2">
      <c r="A451" s="172"/>
    </row>
    <row r="452" spans="1:1" x14ac:dyDescent="0.2">
      <c r="A452" s="172"/>
    </row>
    <row r="453" spans="1:1" x14ac:dyDescent="0.2">
      <c r="A453" s="172"/>
    </row>
    <row r="454" spans="1:1" x14ac:dyDescent="0.2">
      <c r="A454" s="172"/>
    </row>
    <row r="455" spans="1:1" x14ac:dyDescent="0.2">
      <c r="A455" s="172"/>
    </row>
    <row r="456" spans="1:1" x14ac:dyDescent="0.2">
      <c r="A456" s="172"/>
    </row>
    <row r="457" spans="1:1" x14ac:dyDescent="0.2">
      <c r="A457" s="172"/>
    </row>
    <row r="458" spans="1:1" x14ac:dyDescent="0.2">
      <c r="A458" s="172"/>
    </row>
    <row r="459" spans="1:1" x14ac:dyDescent="0.2">
      <c r="A459" s="172"/>
    </row>
    <row r="460" spans="1:1" x14ac:dyDescent="0.2">
      <c r="A460" s="172"/>
    </row>
    <row r="461" spans="1:1" x14ac:dyDescent="0.2">
      <c r="A461" s="172"/>
    </row>
    <row r="462" spans="1:1" x14ac:dyDescent="0.2">
      <c r="A462" s="172"/>
    </row>
    <row r="463" spans="1:1" x14ac:dyDescent="0.2">
      <c r="A463" s="172"/>
    </row>
    <row r="464" spans="1:1" x14ac:dyDescent="0.2">
      <c r="A464" s="172"/>
    </row>
    <row r="465" spans="1:1" x14ac:dyDescent="0.2">
      <c r="A465" s="172"/>
    </row>
    <row r="466" spans="1:1" x14ac:dyDescent="0.2">
      <c r="A466" s="172"/>
    </row>
    <row r="467" spans="1:1" x14ac:dyDescent="0.2">
      <c r="A467" s="172"/>
    </row>
    <row r="468" spans="1:1" x14ac:dyDescent="0.2">
      <c r="A468" s="172"/>
    </row>
    <row r="469" spans="1:1" x14ac:dyDescent="0.2">
      <c r="A469" s="172"/>
    </row>
    <row r="470" spans="1:1" x14ac:dyDescent="0.2">
      <c r="A470" s="172"/>
    </row>
    <row r="471" spans="1:1" x14ac:dyDescent="0.2">
      <c r="A471" s="172"/>
    </row>
    <row r="472" spans="1:1" x14ac:dyDescent="0.2">
      <c r="A472" s="172"/>
    </row>
    <row r="473" spans="1:1" x14ac:dyDescent="0.2">
      <c r="A473" s="172"/>
    </row>
    <row r="474" spans="1:1" x14ac:dyDescent="0.2">
      <c r="A474" s="172"/>
    </row>
    <row r="475" spans="1:1" x14ac:dyDescent="0.2">
      <c r="A475" s="172"/>
    </row>
    <row r="476" spans="1:1" x14ac:dyDescent="0.2">
      <c r="A476" s="172"/>
    </row>
    <row r="477" spans="1:1" x14ac:dyDescent="0.2">
      <c r="A477" s="172"/>
    </row>
    <row r="478" spans="1:1" x14ac:dyDescent="0.2">
      <c r="A478" s="172"/>
    </row>
    <row r="479" spans="1:1" x14ac:dyDescent="0.2">
      <c r="A479" s="172"/>
    </row>
    <row r="480" spans="1:1" x14ac:dyDescent="0.2">
      <c r="A480" s="172"/>
    </row>
    <row r="481" spans="1:1" x14ac:dyDescent="0.2">
      <c r="A481" s="172"/>
    </row>
    <row r="482" spans="1:1" x14ac:dyDescent="0.2">
      <c r="A482" s="172"/>
    </row>
    <row r="483" spans="1:1" x14ac:dyDescent="0.2">
      <c r="A483" s="172"/>
    </row>
    <row r="484" spans="1:1" x14ac:dyDescent="0.2">
      <c r="A484" s="172"/>
    </row>
    <row r="485" spans="1:1" x14ac:dyDescent="0.2">
      <c r="A485" s="172"/>
    </row>
    <row r="486" spans="1:1" x14ac:dyDescent="0.2">
      <c r="A486" s="172"/>
    </row>
    <row r="487" spans="1:1" x14ac:dyDescent="0.2">
      <c r="A487" s="172"/>
    </row>
    <row r="488" spans="1:1" x14ac:dyDescent="0.2">
      <c r="A488" s="172"/>
    </row>
    <row r="489" spans="1:1" x14ac:dyDescent="0.2">
      <c r="A489" s="172"/>
    </row>
    <row r="490" spans="1:1" x14ac:dyDescent="0.2">
      <c r="A490" s="172"/>
    </row>
    <row r="491" spans="1:1" x14ac:dyDescent="0.2">
      <c r="A491" s="172"/>
    </row>
    <row r="492" spans="1:1" x14ac:dyDescent="0.2">
      <c r="A492" s="172"/>
    </row>
    <row r="493" spans="1:1" x14ac:dyDescent="0.2">
      <c r="A493" s="172"/>
    </row>
    <row r="494" spans="1:1" x14ac:dyDescent="0.2">
      <c r="A494" s="172"/>
    </row>
    <row r="495" spans="1:1" x14ac:dyDescent="0.2">
      <c r="A495" s="172"/>
    </row>
    <row r="496" spans="1:1" x14ac:dyDescent="0.2">
      <c r="A496" s="172"/>
    </row>
    <row r="497" spans="1:1" x14ac:dyDescent="0.2">
      <c r="A497" s="172"/>
    </row>
    <row r="498" spans="1:1" x14ac:dyDescent="0.2">
      <c r="A498" s="172"/>
    </row>
    <row r="499" spans="1:1" x14ac:dyDescent="0.2">
      <c r="A499" s="172"/>
    </row>
    <row r="500" spans="1:1" x14ac:dyDescent="0.2">
      <c r="A500" s="172"/>
    </row>
    <row r="501" spans="1:1" x14ac:dyDescent="0.2">
      <c r="A501" s="172"/>
    </row>
    <row r="502" spans="1:1" x14ac:dyDescent="0.2">
      <c r="A502" s="172"/>
    </row>
    <row r="503" spans="1:1" x14ac:dyDescent="0.2">
      <c r="A503" s="172"/>
    </row>
    <row r="504" spans="1:1" x14ac:dyDescent="0.2">
      <c r="A504" s="172"/>
    </row>
    <row r="505" spans="1:1" x14ac:dyDescent="0.2">
      <c r="A505" s="172"/>
    </row>
    <row r="506" spans="1:1" x14ac:dyDescent="0.2">
      <c r="A506" s="172"/>
    </row>
    <row r="507" spans="1:1" x14ac:dyDescent="0.2">
      <c r="A507" s="172"/>
    </row>
    <row r="508" spans="1:1" x14ac:dyDescent="0.2">
      <c r="A508" s="172"/>
    </row>
    <row r="509" spans="1:1" x14ac:dyDescent="0.2">
      <c r="A509" s="172"/>
    </row>
    <row r="510" spans="1:1" x14ac:dyDescent="0.2">
      <c r="A510" s="172"/>
    </row>
    <row r="511" spans="1:1" x14ac:dyDescent="0.2">
      <c r="A511" s="172"/>
    </row>
    <row r="512" spans="1:1" x14ac:dyDescent="0.2">
      <c r="A512" s="172"/>
    </row>
    <row r="513" spans="1:1" x14ac:dyDescent="0.2">
      <c r="A513" s="172"/>
    </row>
    <row r="514" spans="1:1" x14ac:dyDescent="0.2">
      <c r="A514" s="172"/>
    </row>
    <row r="515" spans="1:1" x14ac:dyDescent="0.2">
      <c r="A515" s="172"/>
    </row>
    <row r="516" spans="1:1" x14ac:dyDescent="0.2">
      <c r="A516" s="172"/>
    </row>
    <row r="517" spans="1:1" x14ac:dyDescent="0.2">
      <c r="A517" s="172"/>
    </row>
    <row r="518" spans="1:1" x14ac:dyDescent="0.2">
      <c r="A518" s="172"/>
    </row>
    <row r="519" spans="1:1" x14ac:dyDescent="0.2">
      <c r="A519" s="172"/>
    </row>
    <row r="520" spans="1:1" x14ac:dyDescent="0.2">
      <c r="A520" s="172"/>
    </row>
    <row r="521" spans="1:1" x14ac:dyDescent="0.2">
      <c r="A521" s="172"/>
    </row>
    <row r="522" spans="1:1" x14ac:dyDescent="0.2">
      <c r="A522" s="172"/>
    </row>
    <row r="523" spans="1:1" x14ac:dyDescent="0.2">
      <c r="A523" s="172"/>
    </row>
    <row r="524" spans="1:1" x14ac:dyDescent="0.2">
      <c r="A524" s="172"/>
    </row>
    <row r="525" spans="1:1" x14ac:dyDescent="0.2">
      <c r="A525" s="172"/>
    </row>
    <row r="526" spans="1:1" x14ac:dyDescent="0.2">
      <c r="A526" s="172"/>
    </row>
    <row r="527" spans="1:1" x14ac:dyDescent="0.2">
      <c r="A527" s="172"/>
    </row>
    <row r="528" spans="1:1" x14ac:dyDescent="0.2">
      <c r="A528" s="172"/>
    </row>
    <row r="529" spans="1:1" x14ac:dyDescent="0.2">
      <c r="A529" s="172"/>
    </row>
    <row r="530" spans="1:1" x14ac:dyDescent="0.2">
      <c r="A530" s="172"/>
    </row>
    <row r="531" spans="1:1" x14ac:dyDescent="0.2">
      <c r="A531" s="172"/>
    </row>
    <row r="532" spans="1:1" x14ac:dyDescent="0.2">
      <c r="A532" s="172"/>
    </row>
    <row r="533" spans="1:1" x14ac:dyDescent="0.2">
      <c r="A533" s="172"/>
    </row>
    <row r="534" spans="1:1" x14ac:dyDescent="0.2">
      <c r="A534" s="172"/>
    </row>
    <row r="535" spans="1:1" x14ac:dyDescent="0.2">
      <c r="A535" s="172"/>
    </row>
    <row r="536" spans="1:1" x14ac:dyDescent="0.2">
      <c r="A536" s="172"/>
    </row>
    <row r="537" spans="1:1" x14ac:dyDescent="0.2">
      <c r="A537" s="172"/>
    </row>
    <row r="538" spans="1:1" x14ac:dyDescent="0.2">
      <c r="A538" s="172"/>
    </row>
    <row r="539" spans="1:1" x14ac:dyDescent="0.2">
      <c r="A539" s="172"/>
    </row>
    <row r="540" spans="1:1" x14ac:dyDescent="0.2">
      <c r="A540" s="172"/>
    </row>
    <row r="541" spans="1:1" x14ac:dyDescent="0.2">
      <c r="A541" s="172"/>
    </row>
    <row r="542" spans="1:1" x14ac:dyDescent="0.2">
      <c r="A542" s="172"/>
    </row>
    <row r="543" spans="1:1" x14ac:dyDescent="0.2">
      <c r="A543" s="172"/>
    </row>
    <row r="544" spans="1:1" x14ac:dyDescent="0.2">
      <c r="A544" s="172"/>
    </row>
    <row r="545" spans="1:1" x14ac:dyDescent="0.2">
      <c r="A545" s="172"/>
    </row>
    <row r="546" spans="1:1" x14ac:dyDescent="0.2">
      <c r="A546" s="172"/>
    </row>
    <row r="547" spans="1:1" x14ac:dyDescent="0.2">
      <c r="A547" s="172"/>
    </row>
    <row r="548" spans="1:1" x14ac:dyDescent="0.2">
      <c r="A548" s="172"/>
    </row>
    <row r="549" spans="1:1" x14ac:dyDescent="0.2">
      <c r="A549" s="172"/>
    </row>
    <row r="550" spans="1:1" x14ac:dyDescent="0.2">
      <c r="A550" s="172"/>
    </row>
    <row r="551" spans="1:1" x14ac:dyDescent="0.2">
      <c r="A551" s="172"/>
    </row>
    <row r="552" spans="1:1" x14ac:dyDescent="0.2">
      <c r="A552" s="172"/>
    </row>
    <row r="553" spans="1:1" x14ac:dyDescent="0.2">
      <c r="A553" s="172"/>
    </row>
    <row r="554" spans="1:1" x14ac:dyDescent="0.2">
      <c r="A554" s="172"/>
    </row>
    <row r="555" spans="1:1" x14ac:dyDescent="0.2">
      <c r="A555" s="172"/>
    </row>
    <row r="556" spans="1:1" x14ac:dyDescent="0.2">
      <c r="A556" s="172"/>
    </row>
    <row r="557" spans="1:1" x14ac:dyDescent="0.2">
      <c r="A557" s="172"/>
    </row>
    <row r="558" spans="1:1" x14ac:dyDescent="0.2">
      <c r="A558" s="172"/>
    </row>
    <row r="559" spans="1:1" x14ac:dyDescent="0.2">
      <c r="A559" s="172"/>
    </row>
    <row r="560" spans="1:1" x14ac:dyDescent="0.2">
      <c r="A560" s="172"/>
    </row>
    <row r="561" spans="1:1" x14ac:dyDescent="0.2">
      <c r="A561" s="172"/>
    </row>
    <row r="562" spans="1:1" x14ac:dyDescent="0.2">
      <c r="A562" s="172"/>
    </row>
    <row r="563" spans="1:1" x14ac:dyDescent="0.2">
      <c r="A563" s="172"/>
    </row>
    <row r="564" spans="1:1" x14ac:dyDescent="0.2">
      <c r="A564" s="172"/>
    </row>
    <row r="565" spans="1:1" x14ac:dyDescent="0.2">
      <c r="A565" s="172"/>
    </row>
    <row r="566" spans="1:1" x14ac:dyDescent="0.2">
      <c r="A566" s="172"/>
    </row>
    <row r="567" spans="1:1" x14ac:dyDescent="0.2">
      <c r="A567" s="172"/>
    </row>
    <row r="568" spans="1:1" x14ac:dyDescent="0.2">
      <c r="A568" s="172"/>
    </row>
    <row r="569" spans="1:1" x14ac:dyDescent="0.2">
      <c r="A569" s="172"/>
    </row>
    <row r="570" spans="1:1" x14ac:dyDescent="0.2">
      <c r="A570" s="172"/>
    </row>
    <row r="571" spans="1:1" x14ac:dyDescent="0.2">
      <c r="A571" s="172"/>
    </row>
    <row r="572" spans="1:1" x14ac:dyDescent="0.2">
      <c r="A572" s="172"/>
    </row>
    <row r="573" spans="1:1" x14ac:dyDescent="0.2">
      <c r="A573" s="172"/>
    </row>
    <row r="574" spans="1:1" x14ac:dyDescent="0.2">
      <c r="A574" s="172"/>
    </row>
    <row r="575" spans="1:1" x14ac:dyDescent="0.2">
      <c r="A575" s="172"/>
    </row>
    <row r="576" spans="1:1" x14ac:dyDescent="0.2">
      <c r="A576" s="172"/>
    </row>
    <row r="577" spans="1:1" x14ac:dyDescent="0.2">
      <c r="A577" s="172"/>
    </row>
    <row r="578" spans="1:1" x14ac:dyDescent="0.2">
      <c r="A578" s="172"/>
    </row>
    <row r="579" spans="1:1" x14ac:dyDescent="0.2">
      <c r="A579" s="172"/>
    </row>
    <row r="580" spans="1:1" x14ac:dyDescent="0.2">
      <c r="A580" s="172"/>
    </row>
    <row r="581" spans="1:1" x14ac:dyDescent="0.2">
      <c r="A581" s="172"/>
    </row>
    <row r="582" spans="1:1" x14ac:dyDescent="0.2">
      <c r="A582" s="172"/>
    </row>
    <row r="583" spans="1:1" x14ac:dyDescent="0.2">
      <c r="A583" s="172"/>
    </row>
    <row r="584" spans="1:1" x14ac:dyDescent="0.2">
      <c r="A584" s="172"/>
    </row>
    <row r="585" spans="1:1" x14ac:dyDescent="0.2">
      <c r="A585" s="172"/>
    </row>
    <row r="586" spans="1:1" x14ac:dyDescent="0.2">
      <c r="A586" s="172"/>
    </row>
    <row r="587" spans="1:1" x14ac:dyDescent="0.2">
      <c r="A587" s="172"/>
    </row>
    <row r="588" spans="1:1" x14ac:dyDescent="0.2">
      <c r="A588" s="172"/>
    </row>
    <row r="589" spans="1:1" x14ac:dyDescent="0.2">
      <c r="A589" s="172"/>
    </row>
    <row r="590" spans="1:1" x14ac:dyDescent="0.2">
      <c r="A590" s="172"/>
    </row>
    <row r="591" spans="1:1" x14ac:dyDescent="0.2">
      <c r="A591" s="172"/>
    </row>
    <row r="592" spans="1:1" x14ac:dyDescent="0.2">
      <c r="A592" s="172"/>
    </row>
    <row r="593" spans="1:1" x14ac:dyDescent="0.2">
      <c r="A593" s="172"/>
    </row>
    <row r="594" spans="1:1" x14ac:dyDescent="0.2">
      <c r="A594" s="172"/>
    </row>
    <row r="595" spans="1:1" x14ac:dyDescent="0.2">
      <c r="A595" s="172"/>
    </row>
    <row r="596" spans="1:1" x14ac:dyDescent="0.2">
      <c r="A596" s="172"/>
    </row>
    <row r="597" spans="1:1" x14ac:dyDescent="0.2">
      <c r="A597" s="172"/>
    </row>
    <row r="598" spans="1:1" x14ac:dyDescent="0.2">
      <c r="A598" s="172"/>
    </row>
    <row r="599" spans="1:1" x14ac:dyDescent="0.2">
      <c r="A599" s="172"/>
    </row>
    <row r="600" spans="1:1" x14ac:dyDescent="0.2">
      <c r="A600" s="172"/>
    </row>
    <row r="601" spans="1:1" x14ac:dyDescent="0.2">
      <c r="A601" s="172"/>
    </row>
    <row r="602" spans="1:1" x14ac:dyDescent="0.2">
      <c r="A602" s="172"/>
    </row>
    <row r="603" spans="1:1" x14ac:dyDescent="0.2">
      <c r="A603" s="172"/>
    </row>
    <row r="604" spans="1:1" x14ac:dyDescent="0.2">
      <c r="A604" s="172"/>
    </row>
    <row r="605" spans="1:1" x14ac:dyDescent="0.2">
      <c r="A605" s="172"/>
    </row>
    <row r="606" spans="1:1" x14ac:dyDescent="0.2">
      <c r="A606" s="172"/>
    </row>
    <row r="607" spans="1:1" x14ac:dyDescent="0.2">
      <c r="A607" s="172"/>
    </row>
    <row r="608" spans="1:1" x14ac:dyDescent="0.2">
      <c r="A608" s="172"/>
    </row>
    <row r="609" spans="1:1" x14ac:dyDescent="0.2">
      <c r="A609" s="172"/>
    </row>
    <row r="610" spans="1:1" x14ac:dyDescent="0.2">
      <c r="A610" s="172"/>
    </row>
    <row r="611" spans="1:1" x14ac:dyDescent="0.2">
      <c r="A611" s="172"/>
    </row>
    <row r="612" spans="1:1" x14ac:dyDescent="0.2">
      <c r="A612" s="172"/>
    </row>
    <row r="613" spans="1:1" x14ac:dyDescent="0.2">
      <c r="A613" s="172"/>
    </row>
    <row r="614" spans="1:1" x14ac:dyDescent="0.2">
      <c r="A614" s="172"/>
    </row>
    <row r="615" spans="1:1" x14ac:dyDescent="0.2">
      <c r="A615" s="172"/>
    </row>
    <row r="616" spans="1:1" x14ac:dyDescent="0.2">
      <c r="A616" s="172"/>
    </row>
    <row r="617" spans="1:1" x14ac:dyDescent="0.2">
      <c r="A617" s="172"/>
    </row>
    <row r="618" spans="1:1" x14ac:dyDescent="0.2">
      <c r="A618" s="172"/>
    </row>
    <row r="619" spans="1:1" x14ac:dyDescent="0.2">
      <c r="A619" s="172"/>
    </row>
    <row r="620" spans="1:1" x14ac:dyDescent="0.2">
      <c r="A620" s="172"/>
    </row>
    <row r="621" spans="1:1" x14ac:dyDescent="0.2">
      <c r="A621" s="172"/>
    </row>
    <row r="622" spans="1:1" x14ac:dyDescent="0.2">
      <c r="A622" s="172"/>
    </row>
    <row r="623" spans="1:1" x14ac:dyDescent="0.2">
      <c r="A623" s="172"/>
    </row>
    <row r="624" spans="1:1" x14ac:dyDescent="0.2">
      <c r="A624" s="172"/>
    </row>
    <row r="625" spans="1:1" x14ac:dyDescent="0.2">
      <c r="A625" s="172"/>
    </row>
    <row r="626" spans="1:1" x14ac:dyDescent="0.2">
      <c r="A626" s="172"/>
    </row>
    <row r="627" spans="1:1" x14ac:dyDescent="0.2">
      <c r="A627" s="172"/>
    </row>
    <row r="628" spans="1:1" x14ac:dyDescent="0.2">
      <c r="A628" s="172"/>
    </row>
    <row r="629" spans="1:1" x14ac:dyDescent="0.2">
      <c r="A629" s="172"/>
    </row>
    <row r="630" spans="1:1" x14ac:dyDescent="0.2">
      <c r="A630" s="172"/>
    </row>
    <row r="631" spans="1:1" x14ac:dyDescent="0.2">
      <c r="A631" s="172"/>
    </row>
    <row r="632" spans="1:1" x14ac:dyDescent="0.2">
      <c r="A632" s="172"/>
    </row>
    <row r="633" spans="1:1" x14ac:dyDescent="0.2">
      <c r="A633" s="172"/>
    </row>
    <row r="634" spans="1:1" x14ac:dyDescent="0.2">
      <c r="A634" s="172"/>
    </row>
    <row r="635" spans="1:1" x14ac:dyDescent="0.2">
      <c r="A635" s="172"/>
    </row>
    <row r="636" spans="1:1" x14ac:dyDescent="0.2">
      <c r="A636" s="172"/>
    </row>
    <row r="637" spans="1:1" x14ac:dyDescent="0.2">
      <c r="A637" s="172"/>
    </row>
    <row r="638" spans="1:1" x14ac:dyDescent="0.2">
      <c r="A638" s="172"/>
    </row>
    <row r="639" spans="1:1" x14ac:dyDescent="0.2">
      <c r="A639" s="172"/>
    </row>
    <row r="640" spans="1:1" x14ac:dyDescent="0.2">
      <c r="A640" s="172"/>
    </row>
    <row r="641" spans="1:1" x14ac:dyDescent="0.2">
      <c r="A641" s="172"/>
    </row>
    <row r="642" spans="1:1" x14ac:dyDescent="0.2">
      <c r="A642" s="172"/>
    </row>
    <row r="643" spans="1:1" x14ac:dyDescent="0.2">
      <c r="A643" s="172"/>
    </row>
    <row r="644" spans="1:1" x14ac:dyDescent="0.2">
      <c r="A644" s="172"/>
    </row>
    <row r="645" spans="1:1" x14ac:dyDescent="0.2">
      <c r="A645" s="172"/>
    </row>
    <row r="646" spans="1:1" x14ac:dyDescent="0.2">
      <c r="A646" s="172"/>
    </row>
    <row r="647" spans="1:1" x14ac:dyDescent="0.2">
      <c r="A647" s="172"/>
    </row>
    <row r="648" spans="1:1" x14ac:dyDescent="0.2">
      <c r="A648" s="172"/>
    </row>
    <row r="649" spans="1:1" x14ac:dyDescent="0.2">
      <c r="A649" s="172"/>
    </row>
    <row r="650" spans="1:1" x14ac:dyDescent="0.2">
      <c r="A650" s="172"/>
    </row>
    <row r="651" spans="1:1" x14ac:dyDescent="0.2">
      <c r="A651" s="172"/>
    </row>
    <row r="652" spans="1:1" x14ac:dyDescent="0.2">
      <c r="A652" s="172"/>
    </row>
    <row r="653" spans="1:1" x14ac:dyDescent="0.2">
      <c r="A653" s="172"/>
    </row>
    <row r="654" spans="1:1" x14ac:dyDescent="0.2">
      <c r="A654" s="172"/>
    </row>
    <row r="655" spans="1:1" x14ac:dyDescent="0.2">
      <c r="A655" s="172"/>
    </row>
    <row r="656" spans="1:1" x14ac:dyDescent="0.2">
      <c r="A656" s="172"/>
    </row>
    <row r="657" spans="1:1" x14ac:dyDescent="0.2">
      <c r="A657" s="172"/>
    </row>
    <row r="658" spans="1:1" x14ac:dyDescent="0.2">
      <c r="A658" s="172"/>
    </row>
    <row r="659" spans="1:1" x14ac:dyDescent="0.2">
      <c r="A659" s="172"/>
    </row>
    <row r="660" spans="1:1" x14ac:dyDescent="0.2">
      <c r="A660" s="172"/>
    </row>
    <row r="661" spans="1:1" x14ac:dyDescent="0.2">
      <c r="A661" s="172"/>
    </row>
    <row r="662" spans="1:1" x14ac:dyDescent="0.2">
      <c r="A662" s="172"/>
    </row>
    <row r="663" spans="1:1" x14ac:dyDescent="0.2">
      <c r="A663" s="172"/>
    </row>
    <row r="664" spans="1:1" x14ac:dyDescent="0.2">
      <c r="A664" s="172"/>
    </row>
    <row r="665" spans="1:1" x14ac:dyDescent="0.2">
      <c r="A665" s="172"/>
    </row>
    <row r="666" spans="1:1" x14ac:dyDescent="0.2">
      <c r="A666" s="172"/>
    </row>
    <row r="667" spans="1:1" x14ac:dyDescent="0.2">
      <c r="A667" s="172"/>
    </row>
    <row r="668" spans="1:1" x14ac:dyDescent="0.2">
      <c r="A668" s="172"/>
    </row>
    <row r="669" spans="1:1" x14ac:dyDescent="0.2">
      <c r="A669" s="172"/>
    </row>
    <row r="670" spans="1:1" x14ac:dyDescent="0.2">
      <c r="A670" s="172"/>
    </row>
    <row r="671" spans="1:1" x14ac:dyDescent="0.2">
      <c r="A671" s="172"/>
    </row>
    <row r="672" spans="1:1" x14ac:dyDescent="0.2">
      <c r="A672" s="172"/>
    </row>
    <row r="673" spans="1:1" x14ac:dyDescent="0.2">
      <c r="A673" s="172"/>
    </row>
    <row r="674" spans="1:1" x14ac:dyDescent="0.2">
      <c r="A674" s="172"/>
    </row>
    <row r="675" spans="1:1" x14ac:dyDescent="0.2">
      <c r="A675" s="172"/>
    </row>
    <row r="676" spans="1:1" x14ac:dyDescent="0.2">
      <c r="A676" s="172"/>
    </row>
    <row r="677" spans="1:1" x14ac:dyDescent="0.2">
      <c r="A677" s="172"/>
    </row>
    <row r="678" spans="1:1" x14ac:dyDescent="0.2">
      <c r="A678" s="172"/>
    </row>
    <row r="679" spans="1:1" x14ac:dyDescent="0.2">
      <c r="A679" s="172"/>
    </row>
    <row r="680" spans="1:1" x14ac:dyDescent="0.2">
      <c r="A680" s="172"/>
    </row>
    <row r="681" spans="1:1" x14ac:dyDescent="0.2">
      <c r="A681" s="172"/>
    </row>
    <row r="682" spans="1:1" x14ac:dyDescent="0.2">
      <c r="A682" s="172"/>
    </row>
    <row r="683" spans="1:1" x14ac:dyDescent="0.2">
      <c r="A683" s="172"/>
    </row>
    <row r="684" spans="1:1" x14ac:dyDescent="0.2">
      <c r="A684" s="172"/>
    </row>
    <row r="685" spans="1:1" x14ac:dyDescent="0.2">
      <c r="A685" s="172"/>
    </row>
    <row r="686" spans="1:1" x14ac:dyDescent="0.2">
      <c r="A686" s="172"/>
    </row>
    <row r="687" spans="1:1" x14ac:dyDescent="0.2">
      <c r="A687" s="172"/>
    </row>
    <row r="688" spans="1:1" x14ac:dyDescent="0.2">
      <c r="A688" s="172"/>
    </row>
    <row r="689" spans="1:1" x14ac:dyDescent="0.2">
      <c r="A689" s="172"/>
    </row>
    <row r="690" spans="1:1" x14ac:dyDescent="0.2">
      <c r="A690" s="172"/>
    </row>
    <row r="691" spans="1:1" x14ac:dyDescent="0.2">
      <c r="A691" s="172"/>
    </row>
    <row r="692" spans="1:1" x14ac:dyDescent="0.2">
      <c r="A692" s="172"/>
    </row>
    <row r="693" spans="1:1" x14ac:dyDescent="0.2">
      <c r="A693" s="172"/>
    </row>
    <row r="694" spans="1:1" x14ac:dyDescent="0.2">
      <c r="A694" s="172"/>
    </row>
    <row r="695" spans="1:1" x14ac:dyDescent="0.2">
      <c r="A695" s="172"/>
    </row>
    <row r="696" spans="1:1" x14ac:dyDescent="0.2">
      <c r="A696" s="172"/>
    </row>
    <row r="697" spans="1:1" x14ac:dyDescent="0.2">
      <c r="A697" s="172"/>
    </row>
    <row r="698" spans="1:1" x14ac:dyDescent="0.2">
      <c r="A698" s="172"/>
    </row>
    <row r="699" spans="1:1" x14ac:dyDescent="0.2">
      <c r="A699" s="172"/>
    </row>
    <row r="700" spans="1:1" x14ac:dyDescent="0.2">
      <c r="A700" s="172"/>
    </row>
    <row r="701" spans="1:1" x14ac:dyDescent="0.2">
      <c r="A701" s="172"/>
    </row>
    <row r="702" spans="1:1" x14ac:dyDescent="0.2">
      <c r="A702" s="172"/>
    </row>
    <row r="703" spans="1:1" x14ac:dyDescent="0.2">
      <c r="A703" s="172"/>
    </row>
    <row r="704" spans="1:1" x14ac:dyDescent="0.2">
      <c r="A704" s="172"/>
    </row>
    <row r="705" spans="1:1" x14ac:dyDescent="0.2">
      <c r="A705" s="172"/>
    </row>
    <row r="706" spans="1:1" x14ac:dyDescent="0.2">
      <c r="A706" s="172"/>
    </row>
    <row r="707" spans="1:1" x14ac:dyDescent="0.2">
      <c r="A707" s="172"/>
    </row>
    <row r="708" spans="1:1" x14ac:dyDescent="0.2">
      <c r="A708" s="172"/>
    </row>
    <row r="709" spans="1:1" x14ac:dyDescent="0.2">
      <c r="A709" s="172"/>
    </row>
    <row r="710" spans="1:1" x14ac:dyDescent="0.2">
      <c r="A710" s="172"/>
    </row>
    <row r="711" spans="1:1" x14ac:dyDescent="0.2">
      <c r="A711" s="172"/>
    </row>
    <row r="712" spans="1:1" x14ac:dyDescent="0.2">
      <c r="A712" s="172"/>
    </row>
    <row r="713" spans="1:1" x14ac:dyDescent="0.2">
      <c r="A713" s="172"/>
    </row>
    <row r="714" spans="1:1" x14ac:dyDescent="0.2">
      <c r="A714" s="172"/>
    </row>
    <row r="715" spans="1:1" x14ac:dyDescent="0.2">
      <c r="A715" s="172"/>
    </row>
    <row r="716" spans="1:1" x14ac:dyDescent="0.2">
      <c r="A716" s="172"/>
    </row>
    <row r="717" spans="1:1" x14ac:dyDescent="0.2">
      <c r="A717" s="172"/>
    </row>
    <row r="718" spans="1:1" x14ac:dyDescent="0.2">
      <c r="A718" s="172"/>
    </row>
    <row r="719" spans="1:1" x14ac:dyDescent="0.2">
      <c r="A719" s="172"/>
    </row>
    <row r="720" spans="1:1" x14ac:dyDescent="0.2">
      <c r="A720" s="172"/>
    </row>
    <row r="721" spans="1:1" x14ac:dyDescent="0.2">
      <c r="A721" s="172"/>
    </row>
    <row r="722" spans="1:1" x14ac:dyDescent="0.2">
      <c r="A722" s="172"/>
    </row>
    <row r="723" spans="1:1" x14ac:dyDescent="0.2">
      <c r="A723" s="172"/>
    </row>
    <row r="724" spans="1:1" x14ac:dyDescent="0.2">
      <c r="A724" s="172"/>
    </row>
    <row r="725" spans="1:1" x14ac:dyDescent="0.2">
      <c r="A725" s="172"/>
    </row>
    <row r="726" spans="1:1" x14ac:dyDescent="0.2">
      <c r="A726" s="172"/>
    </row>
    <row r="727" spans="1:1" x14ac:dyDescent="0.2">
      <c r="A727" s="172"/>
    </row>
    <row r="728" spans="1:1" x14ac:dyDescent="0.2">
      <c r="A728" s="172"/>
    </row>
    <row r="729" spans="1:1" x14ac:dyDescent="0.2">
      <c r="A729" s="172"/>
    </row>
    <row r="730" spans="1:1" x14ac:dyDescent="0.2">
      <c r="A730" s="172"/>
    </row>
    <row r="731" spans="1:1" x14ac:dyDescent="0.2">
      <c r="A731" s="172"/>
    </row>
    <row r="732" spans="1:1" x14ac:dyDescent="0.2">
      <c r="A732" s="172"/>
    </row>
    <row r="733" spans="1:1" x14ac:dyDescent="0.2">
      <c r="A733" s="172"/>
    </row>
    <row r="734" spans="1:1" x14ac:dyDescent="0.2">
      <c r="A734" s="172"/>
    </row>
    <row r="735" spans="1:1" x14ac:dyDescent="0.2">
      <c r="A735" s="172"/>
    </row>
    <row r="736" spans="1:1" x14ac:dyDescent="0.2">
      <c r="A736" s="172"/>
    </row>
    <row r="737" spans="1:1" x14ac:dyDescent="0.2">
      <c r="A737" s="172"/>
    </row>
    <row r="738" spans="1:1" x14ac:dyDescent="0.2">
      <c r="A738" s="172"/>
    </row>
    <row r="739" spans="1:1" x14ac:dyDescent="0.2">
      <c r="A739" s="172"/>
    </row>
    <row r="740" spans="1:1" x14ac:dyDescent="0.2">
      <c r="A740" s="172"/>
    </row>
    <row r="741" spans="1:1" x14ac:dyDescent="0.2">
      <c r="A741" s="172"/>
    </row>
    <row r="742" spans="1:1" x14ac:dyDescent="0.2">
      <c r="A742" s="172"/>
    </row>
    <row r="743" spans="1:1" x14ac:dyDescent="0.2">
      <c r="A743" s="172"/>
    </row>
    <row r="744" spans="1:1" x14ac:dyDescent="0.2">
      <c r="A744" s="172"/>
    </row>
    <row r="745" spans="1:1" x14ac:dyDescent="0.2">
      <c r="A745" s="172"/>
    </row>
    <row r="746" spans="1:1" x14ac:dyDescent="0.2">
      <c r="A746" s="172"/>
    </row>
    <row r="747" spans="1:1" x14ac:dyDescent="0.2">
      <c r="A747" s="172"/>
    </row>
    <row r="748" spans="1:1" x14ac:dyDescent="0.2">
      <c r="A748" s="172"/>
    </row>
    <row r="749" spans="1:1" x14ac:dyDescent="0.2">
      <c r="A749" s="172"/>
    </row>
    <row r="750" spans="1:1" x14ac:dyDescent="0.2">
      <c r="A750" s="172"/>
    </row>
    <row r="751" spans="1:1" x14ac:dyDescent="0.2">
      <c r="A751" s="172"/>
    </row>
    <row r="752" spans="1:1" x14ac:dyDescent="0.2">
      <c r="A752" s="172"/>
    </row>
    <row r="753" spans="1:1" x14ac:dyDescent="0.2">
      <c r="A753" s="172"/>
    </row>
    <row r="754" spans="1:1" x14ac:dyDescent="0.2">
      <c r="A754" s="172"/>
    </row>
    <row r="755" spans="1:1" x14ac:dyDescent="0.2">
      <c r="A755" s="172"/>
    </row>
    <row r="756" spans="1:1" x14ac:dyDescent="0.2">
      <c r="A756" s="172"/>
    </row>
    <row r="757" spans="1:1" x14ac:dyDescent="0.2">
      <c r="A757" s="172"/>
    </row>
    <row r="758" spans="1:1" x14ac:dyDescent="0.2">
      <c r="A758" s="172"/>
    </row>
    <row r="759" spans="1:1" x14ac:dyDescent="0.2">
      <c r="A759" s="172"/>
    </row>
    <row r="760" spans="1:1" x14ac:dyDescent="0.2">
      <c r="A760" s="172"/>
    </row>
    <row r="761" spans="1:1" x14ac:dyDescent="0.2">
      <c r="A761" s="172"/>
    </row>
    <row r="762" spans="1:1" x14ac:dyDescent="0.2">
      <c r="A762" s="172"/>
    </row>
    <row r="763" spans="1:1" x14ac:dyDescent="0.2">
      <c r="A763" s="172"/>
    </row>
    <row r="764" spans="1:1" x14ac:dyDescent="0.2">
      <c r="A764" s="172"/>
    </row>
    <row r="765" spans="1:1" x14ac:dyDescent="0.2">
      <c r="A765" s="172"/>
    </row>
    <row r="766" spans="1:1" x14ac:dyDescent="0.2">
      <c r="A766" s="172"/>
    </row>
    <row r="767" spans="1:1" x14ac:dyDescent="0.2">
      <c r="A767" s="172"/>
    </row>
    <row r="768" spans="1:1" x14ac:dyDescent="0.2">
      <c r="A768" s="172"/>
    </row>
    <row r="769" spans="1:1" x14ac:dyDescent="0.2">
      <c r="A769" s="172"/>
    </row>
    <row r="770" spans="1:1" x14ac:dyDescent="0.2">
      <c r="A770" s="172"/>
    </row>
    <row r="771" spans="1:1" x14ac:dyDescent="0.2">
      <c r="A771" s="172"/>
    </row>
    <row r="772" spans="1:1" x14ac:dyDescent="0.2">
      <c r="A772" s="172"/>
    </row>
    <row r="773" spans="1:1" x14ac:dyDescent="0.2">
      <c r="A773" s="172"/>
    </row>
    <row r="774" spans="1:1" x14ac:dyDescent="0.2">
      <c r="A774" s="172"/>
    </row>
    <row r="775" spans="1:1" x14ac:dyDescent="0.2">
      <c r="A775" s="172"/>
    </row>
    <row r="776" spans="1:1" x14ac:dyDescent="0.2">
      <c r="A776" s="172"/>
    </row>
    <row r="777" spans="1:1" x14ac:dyDescent="0.2">
      <c r="A777" s="172"/>
    </row>
    <row r="778" spans="1:1" x14ac:dyDescent="0.2">
      <c r="A778" s="172"/>
    </row>
    <row r="779" spans="1:1" x14ac:dyDescent="0.2">
      <c r="A779" s="172"/>
    </row>
    <row r="780" spans="1:1" x14ac:dyDescent="0.2">
      <c r="A780" s="172"/>
    </row>
    <row r="781" spans="1:1" x14ac:dyDescent="0.2">
      <c r="A781" s="172"/>
    </row>
    <row r="782" spans="1:1" x14ac:dyDescent="0.2">
      <c r="A782" s="172"/>
    </row>
    <row r="783" spans="1:1" x14ac:dyDescent="0.2">
      <c r="A783" s="172"/>
    </row>
    <row r="784" spans="1:1" x14ac:dyDescent="0.2">
      <c r="A784" s="172"/>
    </row>
    <row r="785" spans="1:1" x14ac:dyDescent="0.2">
      <c r="A785" s="172"/>
    </row>
    <row r="786" spans="1:1" x14ac:dyDescent="0.2">
      <c r="A786" s="172"/>
    </row>
    <row r="787" spans="1:1" x14ac:dyDescent="0.2">
      <c r="A787" s="172"/>
    </row>
    <row r="788" spans="1:1" x14ac:dyDescent="0.2">
      <c r="A788" s="172"/>
    </row>
    <row r="789" spans="1:1" x14ac:dyDescent="0.2">
      <c r="A789" s="172"/>
    </row>
    <row r="790" spans="1:1" x14ac:dyDescent="0.2">
      <c r="A790" s="172"/>
    </row>
    <row r="791" spans="1:1" x14ac:dyDescent="0.2">
      <c r="A791" s="172"/>
    </row>
    <row r="792" spans="1:1" x14ac:dyDescent="0.2">
      <c r="A792" s="172"/>
    </row>
    <row r="793" spans="1:1" x14ac:dyDescent="0.2">
      <c r="A793" s="172"/>
    </row>
    <row r="794" spans="1:1" x14ac:dyDescent="0.2">
      <c r="A794" s="172"/>
    </row>
    <row r="795" spans="1:1" x14ac:dyDescent="0.2">
      <c r="A795" s="172"/>
    </row>
    <row r="796" spans="1:1" x14ac:dyDescent="0.2">
      <c r="A796" s="172"/>
    </row>
    <row r="797" spans="1:1" x14ac:dyDescent="0.2">
      <c r="A797" s="172"/>
    </row>
    <row r="798" spans="1:1" x14ac:dyDescent="0.2">
      <c r="A798" s="172"/>
    </row>
    <row r="799" spans="1:1" x14ac:dyDescent="0.2">
      <c r="A799" s="172"/>
    </row>
    <row r="800" spans="1:1" x14ac:dyDescent="0.2">
      <c r="A800" s="172"/>
    </row>
    <row r="801" spans="1:1" x14ac:dyDescent="0.2">
      <c r="A801" s="172"/>
    </row>
    <row r="802" spans="1:1" x14ac:dyDescent="0.2">
      <c r="A802" s="172"/>
    </row>
    <row r="803" spans="1:1" x14ac:dyDescent="0.2">
      <c r="A803" s="172"/>
    </row>
    <row r="804" spans="1:1" x14ac:dyDescent="0.2">
      <c r="A804" s="172"/>
    </row>
    <row r="805" spans="1:1" x14ac:dyDescent="0.2">
      <c r="A805" s="172"/>
    </row>
    <row r="806" spans="1:1" x14ac:dyDescent="0.2">
      <c r="A806" s="172"/>
    </row>
    <row r="807" spans="1:1" x14ac:dyDescent="0.2">
      <c r="A807" s="172"/>
    </row>
    <row r="808" spans="1:1" x14ac:dyDescent="0.2">
      <c r="A808" s="172"/>
    </row>
    <row r="809" spans="1:1" x14ac:dyDescent="0.2">
      <c r="A809" s="172"/>
    </row>
    <row r="810" spans="1:1" x14ac:dyDescent="0.2">
      <c r="A810" s="172"/>
    </row>
    <row r="811" spans="1:1" x14ac:dyDescent="0.2">
      <c r="A811" s="172"/>
    </row>
    <row r="812" spans="1:1" x14ac:dyDescent="0.2">
      <c r="A812" s="172"/>
    </row>
    <row r="813" spans="1:1" x14ac:dyDescent="0.2">
      <c r="A813" s="172"/>
    </row>
    <row r="814" spans="1:1" x14ac:dyDescent="0.2">
      <c r="A814" s="172"/>
    </row>
    <row r="815" spans="1:1" x14ac:dyDescent="0.2">
      <c r="A815" s="172"/>
    </row>
    <row r="816" spans="1:1" x14ac:dyDescent="0.2">
      <c r="A816" s="172"/>
    </row>
    <row r="817" spans="1:1" x14ac:dyDescent="0.2">
      <c r="A817" s="172"/>
    </row>
    <row r="818" spans="1:1" x14ac:dyDescent="0.2">
      <c r="A818" s="172"/>
    </row>
    <row r="819" spans="1:1" x14ac:dyDescent="0.2">
      <c r="A819" s="172"/>
    </row>
    <row r="820" spans="1:1" x14ac:dyDescent="0.2">
      <c r="A820" s="172"/>
    </row>
    <row r="821" spans="1:1" x14ac:dyDescent="0.2">
      <c r="A821" s="172"/>
    </row>
    <row r="822" spans="1:1" x14ac:dyDescent="0.2">
      <c r="A822" s="172"/>
    </row>
    <row r="823" spans="1:1" x14ac:dyDescent="0.2">
      <c r="A823" s="172"/>
    </row>
    <row r="824" spans="1:1" x14ac:dyDescent="0.2">
      <c r="A824" s="172"/>
    </row>
    <row r="825" spans="1:1" x14ac:dyDescent="0.2">
      <c r="A825" s="172"/>
    </row>
    <row r="826" spans="1:1" x14ac:dyDescent="0.2">
      <c r="A826" s="172"/>
    </row>
    <row r="827" spans="1:1" x14ac:dyDescent="0.2">
      <c r="A827" s="172"/>
    </row>
    <row r="828" spans="1:1" x14ac:dyDescent="0.2">
      <c r="A828" s="172"/>
    </row>
    <row r="829" spans="1:1" x14ac:dyDescent="0.2">
      <c r="A829" s="172"/>
    </row>
    <row r="830" spans="1:1" x14ac:dyDescent="0.2">
      <c r="A830" s="172"/>
    </row>
    <row r="831" spans="1:1" x14ac:dyDescent="0.2">
      <c r="A831" s="172"/>
    </row>
    <row r="832" spans="1:1" x14ac:dyDescent="0.2">
      <c r="A832" s="172"/>
    </row>
    <row r="833" spans="1:1" x14ac:dyDescent="0.2">
      <c r="A833" s="172"/>
    </row>
    <row r="834" spans="1:1" x14ac:dyDescent="0.2">
      <c r="A834" s="172"/>
    </row>
    <row r="835" spans="1:1" x14ac:dyDescent="0.2">
      <c r="A835" s="172"/>
    </row>
    <row r="836" spans="1:1" x14ac:dyDescent="0.2">
      <c r="A836" s="172"/>
    </row>
    <row r="837" spans="1:1" x14ac:dyDescent="0.2">
      <c r="A837" s="172"/>
    </row>
    <row r="838" spans="1:1" x14ac:dyDescent="0.2">
      <c r="A838" s="172"/>
    </row>
    <row r="839" spans="1:1" x14ac:dyDescent="0.2">
      <c r="A839" s="172"/>
    </row>
    <row r="840" spans="1:1" x14ac:dyDescent="0.2">
      <c r="A840" s="172"/>
    </row>
    <row r="841" spans="1:1" x14ac:dyDescent="0.2">
      <c r="A841" s="172"/>
    </row>
    <row r="842" spans="1:1" x14ac:dyDescent="0.2">
      <c r="A842" s="172"/>
    </row>
    <row r="843" spans="1:1" x14ac:dyDescent="0.2">
      <c r="A843" s="172"/>
    </row>
    <row r="844" spans="1:1" x14ac:dyDescent="0.2">
      <c r="A844" s="172"/>
    </row>
    <row r="845" spans="1:1" x14ac:dyDescent="0.2">
      <c r="A845" s="172"/>
    </row>
    <row r="846" spans="1:1" x14ac:dyDescent="0.2">
      <c r="A846" s="172"/>
    </row>
    <row r="847" spans="1:1" x14ac:dyDescent="0.2">
      <c r="A847" s="172"/>
    </row>
    <row r="848" spans="1:1" x14ac:dyDescent="0.2">
      <c r="A848" s="172"/>
    </row>
    <row r="849" spans="1:1" x14ac:dyDescent="0.2">
      <c r="A849" s="172"/>
    </row>
    <row r="850" spans="1:1" x14ac:dyDescent="0.2">
      <c r="A850" s="172"/>
    </row>
    <row r="851" spans="1:1" x14ac:dyDescent="0.2">
      <c r="A851" s="172"/>
    </row>
    <row r="852" spans="1:1" x14ac:dyDescent="0.2">
      <c r="A852" s="172"/>
    </row>
    <row r="853" spans="1:1" x14ac:dyDescent="0.2">
      <c r="A853" s="172"/>
    </row>
    <row r="854" spans="1:1" x14ac:dyDescent="0.2">
      <c r="A854" s="172"/>
    </row>
    <row r="855" spans="1:1" x14ac:dyDescent="0.2">
      <c r="A855" s="172"/>
    </row>
    <row r="856" spans="1:1" x14ac:dyDescent="0.2">
      <c r="A856" s="172"/>
    </row>
    <row r="857" spans="1:1" x14ac:dyDescent="0.2">
      <c r="A857" s="172"/>
    </row>
    <row r="858" spans="1:1" x14ac:dyDescent="0.2">
      <c r="A858" s="172"/>
    </row>
    <row r="859" spans="1:1" x14ac:dyDescent="0.2">
      <c r="A859" s="172"/>
    </row>
    <row r="860" spans="1:1" x14ac:dyDescent="0.2">
      <c r="A860" s="172"/>
    </row>
    <row r="861" spans="1:1" x14ac:dyDescent="0.2">
      <c r="A861" s="172"/>
    </row>
    <row r="862" spans="1:1" x14ac:dyDescent="0.2">
      <c r="A862" s="172"/>
    </row>
    <row r="863" spans="1:1" x14ac:dyDescent="0.2">
      <c r="A863" s="172"/>
    </row>
    <row r="864" spans="1:1" x14ac:dyDescent="0.2">
      <c r="A864" s="172"/>
    </row>
    <row r="865" spans="1:1" x14ac:dyDescent="0.2">
      <c r="A865" s="172"/>
    </row>
    <row r="866" spans="1:1" x14ac:dyDescent="0.2">
      <c r="A866" s="172"/>
    </row>
    <row r="867" spans="1:1" x14ac:dyDescent="0.2">
      <c r="A867" s="172"/>
    </row>
    <row r="868" spans="1:1" x14ac:dyDescent="0.2">
      <c r="A868" s="172"/>
    </row>
    <row r="869" spans="1:1" x14ac:dyDescent="0.2">
      <c r="A869" s="172"/>
    </row>
    <row r="870" spans="1:1" x14ac:dyDescent="0.2">
      <c r="A870" s="172"/>
    </row>
    <row r="871" spans="1:1" x14ac:dyDescent="0.2">
      <c r="A871" s="172"/>
    </row>
    <row r="872" spans="1:1" x14ac:dyDescent="0.2">
      <c r="A872" s="172"/>
    </row>
    <row r="873" spans="1:1" x14ac:dyDescent="0.2">
      <c r="A873" s="172"/>
    </row>
    <row r="874" spans="1:1" x14ac:dyDescent="0.2">
      <c r="A874" s="172"/>
    </row>
    <row r="875" spans="1:1" x14ac:dyDescent="0.2">
      <c r="A875" s="172"/>
    </row>
    <row r="876" spans="1:1" x14ac:dyDescent="0.2">
      <c r="A876" s="172"/>
    </row>
    <row r="877" spans="1:1" x14ac:dyDescent="0.2">
      <c r="A877" s="172"/>
    </row>
    <row r="878" spans="1:1" x14ac:dyDescent="0.2">
      <c r="A878" s="172"/>
    </row>
    <row r="879" spans="1:1" x14ac:dyDescent="0.2">
      <c r="A879" s="172"/>
    </row>
    <row r="880" spans="1:1" x14ac:dyDescent="0.2">
      <c r="A880" s="172"/>
    </row>
    <row r="881" spans="1:1" x14ac:dyDescent="0.2">
      <c r="A881" s="172"/>
    </row>
    <row r="882" spans="1:1" x14ac:dyDescent="0.2">
      <c r="A882" s="172"/>
    </row>
    <row r="883" spans="1:1" x14ac:dyDescent="0.2">
      <c r="A883" s="172"/>
    </row>
    <row r="884" spans="1:1" x14ac:dyDescent="0.2">
      <c r="A884" s="172"/>
    </row>
    <row r="885" spans="1:1" x14ac:dyDescent="0.2">
      <c r="A885" s="172"/>
    </row>
    <row r="886" spans="1:1" x14ac:dyDescent="0.2">
      <c r="A886" s="172"/>
    </row>
    <row r="887" spans="1:1" x14ac:dyDescent="0.2">
      <c r="A887" s="172"/>
    </row>
    <row r="888" spans="1:1" x14ac:dyDescent="0.2">
      <c r="A888" s="172"/>
    </row>
    <row r="889" spans="1:1" x14ac:dyDescent="0.2">
      <c r="A889" s="172"/>
    </row>
    <row r="890" spans="1:1" x14ac:dyDescent="0.2">
      <c r="A890" s="172"/>
    </row>
    <row r="891" spans="1:1" x14ac:dyDescent="0.2">
      <c r="A891" s="172"/>
    </row>
    <row r="892" spans="1:1" x14ac:dyDescent="0.2">
      <c r="A892" s="172"/>
    </row>
    <row r="893" spans="1:1" x14ac:dyDescent="0.2">
      <c r="A893" s="172"/>
    </row>
    <row r="894" spans="1:1" x14ac:dyDescent="0.2">
      <c r="A894" s="172"/>
    </row>
    <row r="895" spans="1:1" x14ac:dyDescent="0.2">
      <c r="A895" s="172"/>
    </row>
    <row r="896" spans="1:1" x14ac:dyDescent="0.2">
      <c r="A896" s="172"/>
    </row>
    <row r="897" spans="1:1" x14ac:dyDescent="0.2">
      <c r="A897" s="172"/>
    </row>
    <row r="898" spans="1:1" x14ac:dyDescent="0.2">
      <c r="A898" s="172"/>
    </row>
    <row r="899" spans="1:1" x14ac:dyDescent="0.2">
      <c r="A899" s="172"/>
    </row>
    <row r="900" spans="1:1" x14ac:dyDescent="0.2">
      <c r="A900" s="172"/>
    </row>
    <row r="901" spans="1:1" x14ac:dyDescent="0.2">
      <c r="A901" s="172"/>
    </row>
    <row r="902" spans="1:1" x14ac:dyDescent="0.2">
      <c r="A902" s="172"/>
    </row>
    <row r="903" spans="1:1" x14ac:dyDescent="0.2">
      <c r="A903" s="172"/>
    </row>
    <row r="904" spans="1:1" x14ac:dyDescent="0.2">
      <c r="A904" s="172"/>
    </row>
    <row r="905" spans="1:1" x14ac:dyDescent="0.2">
      <c r="A905" s="172"/>
    </row>
    <row r="906" spans="1:1" x14ac:dyDescent="0.2">
      <c r="A906" s="172"/>
    </row>
    <row r="907" spans="1:1" x14ac:dyDescent="0.2">
      <c r="A907" s="172"/>
    </row>
    <row r="908" spans="1:1" x14ac:dyDescent="0.2">
      <c r="A908" s="172"/>
    </row>
    <row r="909" spans="1:1" x14ac:dyDescent="0.2">
      <c r="A909" s="172"/>
    </row>
    <row r="910" spans="1:1" x14ac:dyDescent="0.2">
      <c r="A910" s="172"/>
    </row>
    <row r="911" spans="1:1" x14ac:dyDescent="0.2">
      <c r="A911" s="172"/>
    </row>
    <row r="912" spans="1:1" x14ac:dyDescent="0.2">
      <c r="A912" s="172"/>
    </row>
    <row r="913" spans="1:1" x14ac:dyDescent="0.2">
      <c r="A913" s="172"/>
    </row>
    <row r="914" spans="1:1" x14ac:dyDescent="0.2">
      <c r="A914" s="172"/>
    </row>
    <row r="915" spans="1:1" x14ac:dyDescent="0.2">
      <c r="A915" s="172"/>
    </row>
    <row r="916" spans="1:1" x14ac:dyDescent="0.2">
      <c r="A916" s="172"/>
    </row>
    <row r="917" spans="1:1" x14ac:dyDescent="0.2">
      <c r="A917" s="172"/>
    </row>
    <row r="918" spans="1:1" x14ac:dyDescent="0.2">
      <c r="A918" s="172"/>
    </row>
    <row r="919" spans="1:1" x14ac:dyDescent="0.2">
      <c r="A919" s="172"/>
    </row>
    <row r="920" spans="1:1" x14ac:dyDescent="0.2">
      <c r="A920" s="172"/>
    </row>
    <row r="921" spans="1:1" x14ac:dyDescent="0.2">
      <c r="A921" s="172"/>
    </row>
    <row r="922" spans="1:1" x14ac:dyDescent="0.2">
      <c r="A922" s="172"/>
    </row>
    <row r="923" spans="1:1" x14ac:dyDescent="0.2">
      <c r="A923" s="172"/>
    </row>
    <row r="924" spans="1:1" x14ac:dyDescent="0.2">
      <c r="A924" s="172"/>
    </row>
    <row r="925" spans="1:1" x14ac:dyDescent="0.2">
      <c r="A925" s="172"/>
    </row>
    <row r="926" spans="1:1" x14ac:dyDescent="0.2">
      <c r="A926" s="172"/>
    </row>
    <row r="927" spans="1:1" x14ac:dyDescent="0.2">
      <c r="A927" s="172"/>
    </row>
    <row r="928" spans="1:1" x14ac:dyDescent="0.2">
      <c r="A928" s="172"/>
    </row>
    <row r="929" spans="1:1" x14ac:dyDescent="0.2">
      <c r="A929" s="172"/>
    </row>
    <row r="930" spans="1:1" x14ac:dyDescent="0.2">
      <c r="A930" s="172"/>
    </row>
    <row r="931" spans="1:1" x14ac:dyDescent="0.2">
      <c r="A931" s="172"/>
    </row>
    <row r="932" spans="1:1" x14ac:dyDescent="0.2">
      <c r="A932" s="172"/>
    </row>
    <row r="933" spans="1:1" x14ac:dyDescent="0.2">
      <c r="A933" s="172"/>
    </row>
    <row r="934" spans="1:1" x14ac:dyDescent="0.2">
      <c r="A934" s="172"/>
    </row>
    <row r="935" spans="1:1" x14ac:dyDescent="0.2">
      <c r="A935" s="172"/>
    </row>
    <row r="936" spans="1:1" x14ac:dyDescent="0.2">
      <c r="A936" s="172"/>
    </row>
    <row r="937" spans="1:1" x14ac:dyDescent="0.2">
      <c r="A937" s="172"/>
    </row>
    <row r="938" spans="1:1" x14ac:dyDescent="0.2">
      <c r="A938" s="172"/>
    </row>
    <row r="939" spans="1:1" x14ac:dyDescent="0.2">
      <c r="A939" s="172"/>
    </row>
    <row r="940" spans="1:1" x14ac:dyDescent="0.2">
      <c r="A940" s="172"/>
    </row>
    <row r="941" spans="1:1" x14ac:dyDescent="0.2">
      <c r="A941" s="172"/>
    </row>
    <row r="942" spans="1:1" x14ac:dyDescent="0.2">
      <c r="A942" s="172"/>
    </row>
    <row r="943" spans="1:1" x14ac:dyDescent="0.2">
      <c r="A943" s="172"/>
    </row>
    <row r="944" spans="1:1" x14ac:dyDescent="0.2">
      <c r="A944" s="172"/>
    </row>
    <row r="945" spans="1:1" x14ac:dyDescent="0.2">
      <c r="A945" s="172"/>
    </row>
    <row r="946" spans="1:1" x14ac:dyDescent="0.2">
      <c r="A946" s="172"/>
    </row>
    <row r="947" spans="1:1" x14ac:dyDescent="0.2">
      <c r="A947" s="172"/>
    </row>
    <row r="948" spans="1:1" x14ac:dyDescent="0.2">
      <c r="A948" s="172"/>
    </row>
    <row r="949" spans="1:1" x14ac:dyDescent="0.2">
      <c r="A949" s="172"/>
    </row>
    <row r="950" spans="1:1" x14ac:dyDescent="0.2">
      <c r="A950" s="172"/>
    </row>
    <row r="951" spans="1:1" x14ac:dyDescent="0.2">
      <c r="A951" s="172"/>
    </row>
    <row r="952" spans="1:1" x14ac:dyDescent="0.2">
      <c r="A952" s="172"/>
    </row>
    <row r="953" spans="1:1" x14ac:dyDescent="0.2">
      <c r="A953" s="172"/>
    </row>
    <row r="954" spans="1:1" x14ac:dyDescent="0.2">
      <c r="A954" s="172"/>
    </row>
    <row r="955" spans="1:1" x14ac:dyDescent="0.2">
      <c r="A955" s="172"/>
    </row>
    <row r="956" spans="1:1" x14ac:dyDescent="0.2">
      <c r="A956" s="172"/>
    </row>
    <row r="957" spans="1:1" x14ac:dyDescent="0.2">
      <c r="A957" s="172"/>
    </row>
    <row r="958" spans="1:1" x14ac:dyDescent="0.2">
      <c r="A958" s="172"/>
    </row>
    <row r="959" spans="1:1" x14ac:dyDescent="0.2">
      <c r="A959" s="172"/>
    </row>
    <row r="960" spans="1:1" x14ac:dyDescent="0.2">
      <c r="A960" s="172"/>
    </row>
    <row r="961" spans="1:1" x14ac:dyDescent="0.2">
      <c r="A961" s="172"/>
    </row>
    <row r="962" spans="1:1" x14ac:dyDescent="0.2">
      <c r="A962" s="172"/>
    </row>
    <row r="963" spans="1:1" x14ac:dyDescent="0.2">
      <c r="A963" s="172"/>
    </row>
    <row r="964" spans="1:1" x14ac:dyDescent="0.2">
      <c r="A964" s="172"/>
    </row>
    <row r="965" spans="1:1" x14ac:dyDescent="0.2">
      <c r="A965" s="172"/>
    </row>
    <row r="966" spans="1:1" x14ac:dyDescent="0.2">
      <c r="A966" s="172"/>
    </row>
    <row r="967" spans="1:1" x14ac:dyDescent="0.2">
      <c r="A967" s="172"/>
    </row>
    <row r="968" spans="1:1" x14ac:dyDescent="0.2">
      <c r="A968" s="172"/>
    </row>
    <row r="969" spans="1:1" x14ac:dyDescent="0.2">
      <c r="A969" s="172"/>
    </row>
    <row r="970" spans="1:1" x14ac:dyDescent="0.2">
      <c r="A970" s="172"/>
    </row>
    <row r="971" spans="1:1" x14ac:dyDescent="0.2">
      <c r="A971" s="172"/>
    </row>
    <row r="972" spans="1:1" x14ac:dyDescent="0.2">
      <c r="A972" s="172"/>
    </row>
    <row r="973" spans="1:1" x14ac:dyDescent="0.2">
      <c r="A973" s="172"/>
    </row>
    <row r="974" spans="1:1" x14ac:dyDescent="0.2">
      <c r="A974" s="172"/>
    </row>
    <row r="975" spans="1:1" x14ac:dyDescent="0.2">
      <c r="A975" s="172"/>
    </row>
    <row r="976" spans="1:1" x14ac:dyDescent="0.2">
      <c r="A976" s="172"/>
    </row>
    <row r="977" spans="1:1" x14ac:dyDescent="0.2">
      <c r="A977" s="172"/>
    </row>
    <row r="978" spans="1:1" x14ac:dyDescent="0.2">
      <c r="A978" s="172"/>
    </row>
    <row r="979" spans="1:1" x14ac:dyDescent="0.2">
      <c r="A979" s="172"/>
    </row>
    <row r="980" spans="1:1" x14ac:dyDescent="0.2">
      <c r="A980" s="172"/>
    </row>
    <row r="981" spans="1:1" x14ac:dyDescent="0.2">
      <c r="A981" s="172"/>
    </row>
    <row r="982" spans="1:1" x14ac:dyDescent="0.2">
      <c r="A982" s="172"/>
    </row>
    <row r="983" spans="1:1" x14ac:dyDescent="0.2">
      <c r="A983" s="172"/>
    </row>
    <row r="984" spans="1:1" x14ac:dyDescent="0.2">
      <c r="A984" s="172"/>
    </row>
    <row r="985" spans="1:1" x14ac:dyDescent="0.2">
      <c r="A985" s="172"/>
    </row>
    <row r="986" spans="1:1" x14ac:dyDescent="0.2">
      <c r="A986" s="172"/>
    </row>
    <row r="987" spans="1:1" x14ac:dyDescent="0.2">
      <c r="A987" s="172"/>
    </row>
    <row r="988" spans="1:1" x14ac:dyDescent="0.2">
      <c r="A988" s="172"/>
    </row>
    <row r="989" spans="1:1" x14ac:dyDescent="0.2">
      <c r="A989" s="172"/>
    </row>
    <row r="990" spans="1:1" x14ac:dyDescent="0.2">
      <c r="A990" s="172"/>
    </row>
    <row r="991" spans="1:1" x14ac:dyDescent="0.2">
      <c r="A991" s="172"/>
    </row>
    <row r="992" spans="1:1" x14ac:dyDescent="0.2">
      <c r="A992" s="172"/>
    </row>
    <row r="993" spans="1:1" x14ac:dyDescent="0.2">
      <c r="A993" s="172"/>
    </row>
    <row r="994" spans="1:1" x14ac:dyDescent="0.2">
      <c r="A994" s="172"/>
    </row>
    <row r="995" spans="1:1" x14ac:dyDescent="0.2">
      <c r="A995" s="172"/>
    </row>
    <row r="996" spans="1:1" x14ac:dyDescent="0.2">
      <c r="A996" s="172"/>
    </row>
    <row r="997" spans="1:1" x14ac:dyDescent="0.2">
      <c r="A997" s="172"/>
    </row>
    <row r="998" spans="1:1" x14ac:dyDescent="0.2">
      <c r="A998" s="172"/>
    </row>
    <row r="999" spans="1:1" x14ac:dyDescent="0.2">
      <c r="A999" s="172"/>
    </row>
    <row r="1000" spans="1:1" x14ac:dyDescent="0.2">
      <c r="A1000" s="172"/>
    </row>
    <row r="1001" spans="1:1" x14ac:dyDescent="0.2">
      <c r="A1001" s="172"/>
    </row>
    <row r="1002" spans="1:1" x14ac:dyDescent="0.2">
      <c r="A1002" s="172"/>
    </row>
    <row r="1003" spans="1:1" x14ac:dyDescent="0.2">
      <c r="A1003" s="172"/>
    </row>
    <row r="1004" spans="1:1" x14ac:dyDescent="0.2">
      <c r="A1004" s="172"/>
    </row>
    <row r="1005" spans="1:1" x14ac:dyDescent="0.2">
      <c r="A1005" s="172"/>
    </row>
    <row r="1006" spans="1:1" x14ac:dyDescent="0.2">
      <c r="A1006" s="172"/>
    </row>
    <row r="1007" spans="1:1" x14ac:dyDescent="0.2">
      <c r="A1007" s="172"/>
    </row>
    <row r="1008" spans="1:1" x14ac:dyDescent="0.2">
      <c r="A1008" s="172"/>
    </row>
    <row r="1009" spans="1:1" x14ac:dyDescent="0.2">
      <c r="A1009" s="172"/>
    </row>
    <row r="1010" spans="1:1" x14ac:dyDescent="0.2">
      <c r="A1010" s="172"/>
    </row>
    <row r="1011" spans="1:1" x14ac:dyDescent="0.2">
      <c r="A1011" s="172"/>
    </row>
    <row r="1012" spans="1:1" x14ac:dyDescent="0.2">
      <c r="A1012" s="172"/>
    </row>
    <row r="1013" spans="1:1" x14ac:dyDescent="0.2">
      <c r="A1013" s="172"/>
    </row>
    <row r="1014" spans="1:1" x14ac:dyDescent="0.2">
      <c r="A1014" s="172"/>
    </row>
    <row r="1015" spans="1:1" x14ac:dyDescent="0.2">
      <c r="A1015" s="172"/>
    </row>
    <row r="1016" spans="1:1" x14ac:dyDescent="0.2">
      <c r="A1016" s="172"/>
    </row>
    <row r="1017" spans="1:1" x14ac:dyDescent="0.2">
      <c r="A1017" s="172"/>
    </row>
    <row r="1018" spans="1:1" x14ac:dyDescent="0.2">
      <c r="A1018" s="172"/>
    </row>
    <row r="1019" spans="1:1" x14ac:dyDescent="0.2">
      <c r="A1019" s="172"/>
    </row>
    <row r="1020" spans="1:1" x14ac:dyDescent="0.2">
      <c r="A1020" s="172"/>
    </row>
    <row r="1021" spans="1:1" x14ac:dyDescent="0.2">
      <c r="A1021" s="172"/>
    </row>
    <row r="1022" spans="1:1" x14ac:dyDescent="0.2">
      <c r="A1022" s="172"/>
    </row>
    <row r="1023" spans="1:1" x14ac:dyDescent="0.2">
      <c r="A1023" s="172"/>
    </row>
    <row r="1024" spans="1:1" x14ac:dyDescent="0.2">
      <c r="A1024" s="172"/>
    </row>
    <row r="1025" spans="1:1" x14ac:dyDescent="0.2">
      <c r="A1025" s="172"/>
    </row>
  </sheetData>
  <mergeCells count="24">
    <mergeCell ref="H8:J8"/>
    <mergeCell ref="E9:E10"/>
    <mergeCell ref="A1:B1"/>
    <mergeCell ref="J1:K1"/>
    <mergeCell ref="A2:K2"/>
    <mergeCell ref="A3:K3"/>
    <mergeCell ref="A4:K4"/>
    <mergeCell ref="G5:K5"/>
    <mergeCell ref="S32:AA32"/>
    <mergeCell ref="F9:G9"/>
    <mergeCell ref="H9:H10"/>
    <mergeCell ref="I9:J9"/>
    <mergeCell ref="A28:B28"/>
    <mergeCell ref="F28:K28"/>
    <mergeCell ref="A32:B32"/>
    <mergeCell ref="F32:K32"/>
    <mergeCell ref="A6:A10"/>
    <mergeCell ref="B6:B10"/>
    <mergeCell ref="C6:C10"/>
    <mergeCell ref="D6:J6"/>
    <mergeCell ref="K6:K10"/>
    <mergeCell ref="D7:D10"/>
    <mergeCell ref="E7:J7"/>
    <mergeCell ref="E8:G8"/>
  </mergeCells>
  <pageMargins left="0.3" right="0.2" top="0.5" bottom="0.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45.1</vt:lpstr>
      <vt:lpstr>45.2</vt:lpstr>
      <vt:lpstr>45.3</vt:lpstr>
      <vt:lpstr>45.5</vt:lpstr>
      <vt:lpstr>45.4</vt:lpstr>
      <vt:lpstr>45.6</vt:lpstr>
      <vt:lpstr>45.7</vt:lpstr>
      <vt:lpstr>'45.1'!Print_Area</vt:lpstr>
      <vt:lpstr>'45.2'!Print_Area</vt:lpstr>
      <vt:lpstr>'45.3'!Print_Area</vt:lpstr>
      <vt:lpstr>'45.4'!Print_Area</vt:lpstr>
      <vt:lpstr>'45.5'!Print_Area</vt:lpstr>
      <vt:lpstr>'45.7'!Print_Area</vt:lpstr>
      <vt:lpstr>'45.1'!Print_Titles</vt:lpstr>
      <vt:lpstr>'45.2'!Print_Titles</vt:lpstr>
      <vt:lpstr>'45.4'!Print_Titles</vt:lpstr>
      <vt:lpstr>'45.6'!Print_Titles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2024-01-17T04:08:05Z</dcterms:created>
  <dcterms:modified xsi:type="dcterms:W3CDTF">2024-04-11T22:35:24Z</dcterms:modified>
</cp:coreProperties>
</file>